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ate1904="1"/>
  <mc:AlternateContent xmlns:mc="http://schemas.openxmlformats.org/markup-compatibility/2006">
    <mc:Choice Requires="x15">
      <x15ac:absPath xmlns:x15ac="http://schemas.microsoft.com/office/spreadsheetml/2010/11/ac" url="E:\001doryoku\学級経営\"/>
    </mc:Choice>
  </mc:AlternateContent>
  <xr:revisionPtr revIDLastSave="0" documentId="8_{2D75F94F-1B75-46B2-BAF7-B27408FDF856}" xr6:coauthVersionLast="45" xr6:coauthVersionMax="45" xr10:uidLastSave="{00000000-0000-0000-0000-000000000000}"/>
  <bookViews>
    <workbookView xWindow="-120" yWindow="-120" windowWidth="28110" windowHeight="16440" tabRatio="690" activeTab="1" xr2:uid="{00000000-000D-0000-FFFF-FFFF00000000}"/>
  </bookViews>
  <sheets>
    <sheet name="出力用紙 (文科省)" sheetId="28" r:id="rId1"/>
    <sheet name="測定結果" sheetId="1" r:id="rId2"/>
    <sheet name="個人票" sheetId="15" r:id="rId3"/>
    <sheet name="出力用紙" sheetId="26" r:id="rId4"/>
    <sheet name="出力用紙 (2)" sheetId="29" r:id="rId5"/>
    <sheet name="出力用紙 (3)" sheetId="30" r:id="rId6"/>
    <sheet name="手書き記録" sheetId="27" r:id="rId7"/>
    <sheet name="人数表" sheetId="2" r:id="rId8"/>
    <sheet name="設定" sheetId="3" r:id="rId9"/>
    <sheet name="握得点表" sheetId="16" r:id="rId10"/>
    <sheet name="上得点表" sheetId="18" r:id="rId11"/>
    <sheet name="前得点表" sheetId="21" r:id="rId12"/>
    <sheet name="反得点表" sheetId="19" r:id="rId13"/>
    <sheet name="シャ得点表" sheetId="22" r:id="rId14"/>
    <sheet name="５０得点表" sheetId="23" r:id="rId15"/>
    <sheet name="立得点表" sheetId="24" r:id="rId16"/>
    <sheet name="ソフト得点表" sheetId="20" r:id="rId17"/>
    <sheet name="総合評価" sheetId="25" r:id="rId18"/>
  </sheets>
  <definedNames>
    <definedName name="_xlnm.Print_Area" localSheetId="2">個人票!$A$1:$I$50</definedName>
    <definedName name="_xlnm.Print_Area" localSheetId="3">出力用紙!$A$1:$AH$47</definedName>
    <definedName name="_xlnm.Print_Area" localSheetId="4">'出力用紙 (2)'!$A$1:$AH$47</definedName>
    <definedName name="_xlnm.Print_Area" localSheetId="5">'出力用紙 (3)'!$A$1:$AH$47</definedName>
    <definedName name="_xlnm.Print_Area" localSheetId="0">'出力用紙 (文科省)'!$A$1:$AI$53</definedName>
    <definedName name="_xlnm.Print_Area" localSheetId="1">測定結果!$A$1:$X$43</definedName>
    <definedName name="記録表" localSheetId="0">測定結果!$A$4:$Z$43</definedName>
    <definedName name="記録表">測定結果!$A$4:$Z$43</definedName>
    <definedName name="壮年" localSheetId="0">設定!$M$46</definedName>
    <definedName name="壮年">設定!$M$46</definedName>
    <definedName name="年齢変換表" localSheetId="0">設定!$I$20:$J$43</definedName>
    <definedName name="年齢変換表">設定!$I$20:$J$43</definedName>
    <definedName name="判定表_４種目">設定!$A$11:$G$17</definedName>
    <definedName name="判定表_５種目">設定!$A$2:$G$8</definedName>
    <definedName name="幼少年" localSheetId="0">設定!$L$46</definedName>
    <definedName name="幼少年">設定!$L$46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47" i="30" l="1"/>
  <c r="AC47" i="30"/>
  <c r="AB47" i="30"/>
  <c r="T47" i="30"/>
  <c r="R47" i="30"/>
  <c r="Q47" i="30"/>
  <c r="P47" i="30"/>
  <c r="AE25" i="30"/>
  <c r="AB25" i="30"/>
  <c r="J25" i="30"/>
  <c r="AL4" i="30" s="1"/>
  <c r="AF23" i="30"/>
  <c r="AD23" i="30"/>
  <c r="AA23" i="30"/>
  <c r="E23" i="30"/>
  <c r="D23" i="30"/>
  <c r="C23" i="30"/>
  <c r="B23" i="30"/>
  <c r="AE21" i="30"/>
  <c r="AD21" i="30"/>
  <c r="AB21" i="30"/>
  <c r="R21" i="30"/>
  <c r="Q21" i="30"/>
  <c r="O21" i="30"/>
  <c r="AE19" i="30"/>
  <c r="AD19" i="30"/>
  <c r="AC19" i="30"/>
  <c r="AB19" i="30"/>
  <c r="R19" i="30"/>
  <c r="Q19" i="30"/>
  <c r="P19" i="30"/>
  <c r="O19" i="30"/>
  <c r="AE17" i="30"/>
  <c r="AC17" i="30"/>
  <c r="AB17" i="30"/>
  <c r="AE15" i="30"/>
  <c r="AD15" i="30"/>
  <c r="AC15" i="30"/>
  <c r="AE13" i="30"/>
  <c r="AD13" i="30"/>
  <c r="AB13" i="30"/>
  <c r="R13" i="30"/>
  <c r="Q13" i="30"/>
  <c r="O13" i="30"/>
  <c r="AE11" i="30"/>
  <c r="AD11" i="30"/>
  <c r="AB11" i="30"/>
  <c r="R11" i="30"/>
  <c r="Q11" i="30"/>
  <c r="O11" i="30"/>
  <c r="AE9" i="30"/>
  <c r="AD9" i="30"/>
  <c r="AE7" i="30"/>
  <c r="AD7" i="30"/>
  <c r="AB7" i="30"/>
  <c r="R7" i="30"/>
  <c r="Q7" i="30"/>
  <c r="O7" i="30"/>
  <c r="AE5" i="30"/>
  <c r="AD5" i="30"/>
  <c r="AB5" i="30"/>
  <c r="R5" i="30"/>
  <c r="Q5" i="30"/>
  <c r="O5" i="30"/>
  <c r="AE47" i="29"/>
  <c r="AC47" i="29"/>
  <c r="AB47" i="29"/>
  <c r="T47" i="29"/>
  <c r="R47" i="29"/>
  <c r="Q47" i="29"/>
  <c r="P47" i="29"/>
  <c r="AE25" i="29"/>
  <c r="AB25" i="29"/>
  <c r="J25" i="29"/>
  <c r="AL4" i="29" s="1"/>
  <c r="AF23" i="29"/>
  <c r="AD23" i="29"/>
  <c r="AA23" i="29"/>
  <c r="E23" i="29"/>
  <c r="D23" i="29"/>
  <c r="C23" i="29"/>
  <c r="B23" i="29"/>
  <c r="AE21" i="29"/>
  <c r="AD21" i="29"/>
  <c r="AB21" i="29"/>
  <c r="R21" i="29"/>
  <c r="Q21" i="29"/>
  <c r="O21" i="29"/>
  <c r="AE19" i="29"/>
  <c r="AD19" i="29"/>
  <c r="AC19" i="29"/>
  <c r="AB19" i="29"/>
  <c r="R19" i="29"/>
  <c r="Q19" i="29"/>
  <c r="P19" i="29"/>
  <c r="O19" i="29"/>
  <c r="AE17" i="29"/>
  <c r="AC17" i="29"/>
  <c r="AB17" i="29"/>
  <c r="AE15" i="29"/>
  <c r="AD15" i="29"/>
  <c r="AC15" i="29"/>
  <c r="AE13" i="29"/>
  <c r="AD13" i="29"/>
  <c r="AB13" i="29"/>
  <c r="R13" i="29"/>
  <c r="Q13" i="29"/>
  <c r="O13" i="29"/>
  <c r="AE11" i="29"/>
  <c r="AD11" i="29"/>
  <c r="AB11" i="29"/>
  <c r="R11" i="29"/>
  <c r="Q11" i="29"/>
  <c r="O11" i="29"/>
  <c r="AE9" i="29"/>
  <c r="AD9" i="29"/>
  <c r="AE7" i="29"/>
  <c r="AD7" i="29"/>
  <c r="AB7" i="29"/>
  <c r="R7" i="29"/>
  <c r="Q7" i="29"/>
  <c r="O7" i="29"/>
  <c r="AE5" i="29"/>
  <c r="AD5" i="29"/>
  <c r="AB5" i="29"/>
  <c r="R5" i="29"/>
  <c r="Q5" i="29"/>
  <c r="O5" i="29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K15" i="28"/>
  <c r="L15" i="28"/>
  <c r="M15" i="28"/>
  <c r="AB13" i="26"/>
  <c r="AB11" i="26"/>
  <c r="AB7" i="26"/>
  <c r="AB5" i="26"/>
  <c r="AB21" i="26"/>
  <c r="AB19" i="26"/>
  <c r="O21" i="26"/>
  <c r="O19" i="26"/>
  <c r="O13" i="26"/>
  <c r="O11" i="26"/>
  <c r="O7" i="26"/>
  <c r="O5" i="26"/>
  <c r="AD9" i="28"/>
  <c r="AB17" i="26"/>
  <c r="T47" i="26"/>
  <c r="R47" i="26"/>
  <c r="Q47" i="26"/>
  <c r="P47" i="26"/>
  <c r="AE47" i="26"/>
  <c r="AC47" i="26"/>
  <c r="AB47" i="26"/>
  <c r="AH15" i="28"/>
  <c r="AG15" i="28"/>
  <c r="AE15" i="28"/>
  <c r="N15" i="28"/>
  <c r="AG5" i="28"/>
  <c r="AF5" i="28"/>
  <c r="AH9" i="28"/>
  <c r="AF9" i="28"/>
  <c r="AH7" i="28"/>
  <c r="AG7" i="28"/>
  <c r="N9" i="28"/>
  <c r="M9" i="28"/>
  <c r="AN4" i="28"/>
  <c r="A3" i="27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D5" i="15"/>
  <c r="A5" i="15"/>
  <c r="A31" i="27"/>
  <c r="A32" i="27"/>
  <c r="A33" i="27"/>
  <c r="A34" i="27"/>
  <c r="A35" i="27"/>
  <c r="A36" i="27"/>
  <c r="A37" i="27"/>
  <c r="A38" i="27"/>
  <c r="A39" i="27"/>
  <c r="A40" i="27"/>
  <c r="A41" i="27"/>
  <c r="A42" i="27"/>
  <c r="C23" i="26"/>
  <c r="B23" i="26"/>
  <c r="G5" i="1"/>
  <c r="J5" i="1"/>
  <c r="R5" i="1" s="1"/>
  <c r="K5" i="1"/>
  <c r="G6" i="1"/>
  <c r="C8" i="15" s="1"/>
  <c r="J6" i="1"/>
  <c r="K6" i="1"/>
  <c r="G8" i="15" s="1"/>
  <c r="G7" i="1"/>
  <c r="J7" i="1"/>
  <c r="F34" i="15" s="1"/>
  <c r="K7" i="1"/>
  <c r="G8" i="1"/>
  <c r="O8" i="1" s="1"/>
  <c r="J8" i="1"/>
  <c r="K8" i="1"/>
  <c r="G9" i="1"/>
  <c r="J9" i="1"/>
  <c r="K9" i="1"/>
  <c r="G10" i="1"/>
  <c r="J10" i="1"/>
  <c r="K10" i="1"/>
  <c r="G11" i="1"/>
  <c r="J11" i="1"/>
  <c r="K11" i="1"/>
  <c r="G12" i="1"/>
  <c r="O12" i="1" s="1"/>
  <c r="J12" i="1"/>
  <c r="K12" i="1"/>
  <c r="S12" i="1" s="1"/>
  <c r="G13" i="1"/>
  <c r="J13" i="1"/>
  <c r="K13" i="1"/>
  <c r="G14" i="1"/>
  <c r="O14" i="1" s="1"/>
  <c r="J14" i="1"/>
  <c r="K14" i="1"/>
  <c r="G15" i="1"/>
  <c r="J15" i="1"/>
  <c r="K15" i="1"/>
  <c r="G16" i="1"/>
  <c r="O16" i="1" s="1"/>
  <c r="J16" i="1"/>
  <c r="K16" i="1"/>
  <c r="G17" i="1"/>
  <c r="J17" i="1"/>
  <c r="R17" i="1" s="1"/>
  <c r="K17" i="1"/>
  <c r="G18" i="1"/>
  <c r="J18" i="1"/>
  <c r="K18" i="1"/>
  <c r="S18" i="1" s="1"/>
  <c r="G19" i="1"/>
  <c r="J19" i="1"/>
  <c r="R19" i="1" s="1"/>
  <c r="K19" i="1"/>
  <c r="G20" i="1"/>
  <c r="O20" i="1" s="1"/>
  <c r="J20" i="1"/>
  <c r="K20" i="1"/>
  <c r="G21" i="1"/>
  <c r="J21" i="1"/>
  <c r="V21" i="1" s="1"/>
  <c r="K21" i="1"/>
  <c r="G22" i="1"/>
  <c r="V22" i="1" s="1"/>
  <c r="J22" i="1"/>
  <c r="K22" i="1"/>
  <c r="G23" i="1"/>
  <c r="J23" i="1"/>
  <c r="K23" i="1"/>
  <c r="G24" i="1"/>
  <c r="J24" i="1"/>
  <c r="K24" i="1"/>
  <c r="G25" i="1"/>
  <c r="J25" i="1"/>
  <c r="R25" i="1" s="1"/>
  <c r="K25" i="1"/>
  <c r="G26" i="1"/>
  <c r="V26" i="1" s="1"/>
  <c r="J26" i="1"/>
  <c r="K26" i="1"/>
  <c r="G27" i="1"/>
  <c r="J27" i="1"/>
  <c r="R27" i="1" s="1"/>
  <c r="K27" i="1"/>
  <c r="G28" i="1"/>
  <c r="J28" i="1"/>
  <c r="K28" i="1"/>
  <c r="S28" i="1" s="1"/>
  <c r="G29" i="1"/>
  <c r="J29" i="1"/>
  <c r="R29" i="1" s="1"/>
  <c r="K29" i="1"/>
  <c r="G30" i="1"/>
  <c r="O30" i="1" s="1"/>
  <c r="J30" i="1"/>
  <c r="K30" i="1"/>
  <c r="S30" i="1" s="1"/>
  <c r="G31" i="1"/>
  <c r="J31" i="1"/>
  <c r="K31" i="1"/>
  <c r="G32" i="1"/>
  <c r="J32" i="1"/>
  <c r="K32" i="1"/>
  <c r="S32" i="1" s="1"/>
  <c r="G33" i="1"/>
  <c r="J33" i="1"/>
  <c r="R33" i="1" s="1"/>
  <c r="K33" i="1"/>
  <c r="G34" i="1"/>
  <c r="O34" i="1" s="1"/>
  <c r="J34" i="1"/>
  <c r="K34" i="1"/>
  <c r="S34" i="1" s="1"/>
  <c r="G35" i="1"/>
  <c r="J35" i="1"/>
  <c r="R35" i="1" s="1"/>
  <c r="K35" i="1"/>
  <c r="G36" i="1"/>
  <c r="O36" i="1" s="1"/>
  <c r="J36" i="1"/>
  <c r="K36" i="1"/>
  <c r="S36" i="1" s="1"/>
  <c r="G37" i="1"/>
  <c r="J37" i="1"/>
  <c r="R37" i="1" s="1"/>
  <c r="K37" i="1"/>
  <c r="G38" i="1"/>
  <c r="J38" i="1"/>
  <c r="K38" i="1"/>
  <c r="S38" i="1" s="1"/>
  <c r="G39" i="1"/>
  <c r="J39" i="1"/>
  <c r="R39" i="1" s="1"/>
  <c r="K39" i="1"/>
  <c r="G40" i="1"/>
  <c r="O40" i="1" s="1"/>
  <c r="J40" i="1"/>
  <c r="K40" i="1"/>
  <c r="S40" i="1" s="1"/>
  <c r="G41" i="1"/>
  <c r="J41" i="1"/>
  <c r="R41" i="1" s="1"/>
  <c r="K41" i="1"/>
  <c r="G42" i="1"/>
  <c r="O42" i="1" s="1"/>
  <c r="J42" i="1"/>
  <c r="K42" i="1"/>
  <c r="S42" i="1" s="1"/>
  <c r="G43" i="1"/>
  <c r="J43" i="1"/>
  <c r="R43" i="1" s="1"/>
  <c r="K43" i="1"/>
  <c r="K4" i="1"/>
  <c r="J4" i="1"/>
  <c r="F8" i="15"/>
  <c r="G4" i="1"/>
  <c r="AE21" i="26"/>
  <c r="AD21" i="26"/>
  <c r="R21" i="26"/>
  <c r="Q21" i="26"/>
  <c r="R19" i="26"/>
  <c r="AD19" i="26"/>
  <c r="AC19" i="26"/>
  <c r="AE19" i="26"/>
  <c r="Q19" i="26"/>
  <c r="P19" i="26"/>
  <c r="AE17" i="26"/>
  <c r="AC17" i="26"/>
  <c r="AE15" i="26"/>
  <c r="AD15" i="26"/>
  <c r="AC15" i="26"/>
  <c r="AE13" i="26"/>
  <c r="AD13" i="26"/>
  <c r="R13" i="26"/>
  <c r="Q13" i="26"/>
  <c r="AE11" i="26"/>
  <c r="AD11" i="26"/>
  <c r="R11" i="26"/>
  <c r="Q11" i="26"/>
  <c r="AE9" i="26"/>
  <c r="AD9" i="26"/>
  <c r="AE7" i="26"/>
  <c r="AD7" i="26"/>
  <c r="R7" i="26"/>
  <c r="Q7" i="26"/>
  <c r="AE5" i="26"/>
  <c r="AD5" i="26"/>
  <c r="R5" i="26"/>
  <c r="Q5" i="26"/>
  <c r="E23" i="26"/>
  <c r="D23" i="26"/>
  <c r="AE25" i="26"/>
  <c r="AB25" i="26"/>
  <c r="AF23" i="26"/>
  <c r="AD23" i="26"/>
  <c r="AA23" i="26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" i="1"/>
  <c r="J25" i="26"/>
  <c r="AL4" i="26" s="1"/>
  <c r="AZ5" i="1"/>
  <c r="I5" i="1" s="1"/>
  <c r="AZ6" i="1"/>
  <c r="I6" i="1" s="1"/>
  <c r="E8" i="15" s="1"/>
  <c r="AZ7" i="1"/>
  <c r="I7" i="1" s="1"/>
  <c r="AZ8" i="1"/>
  <c r="I8" i="1"/>
  <c r="AZ9" i="1"/>
  <c r="I9" i="1" s="1"/>
  <c r="AZ10" i="1"/>
  <c r="I10" i="1" s="1"/>
  <c r="AZ11" i="1"/>
  <c r="I11" i="1" s="1"/>
  <c r="Q11" i="1" s="1"/>
  <c r="AZ12" i="1"/>
  <c r="I12" i="1"/>
  <c r="AZ13" i="1"/>
  <c r="I13" i="1" s="1"/>
  <c r="AZ14" i="1"/>
  <c r="I14" i="1" s="1"/>
  <c r="AZ15" i="1"/>
  <c r="I15" i="1" s="1"/>
  <c r="AZ16" i="1"/>
  <c r="I16" i="1"/>
  <c r="AZ17" i="1"/>
  <c r="I17" i="1" s="1"/>
  <c r="AZ18" i="1"/>
  <c r="I18" i="1" s="1"/>
  <c r="AZ19" i="1"/>
  <c r="I19" i="1" s="1"/>
  <c r="AZ20" i="1"/>
  <c r="I20" i="1"/>
  <c r="Q20" i="1" s="1"/>
  <c r="AZ21" i="1"/>
  <c r="I21" i="1" s="1"/>
  <c r="AZ22" i="1"/>
  <c r="I22" i="1" s="1"/>
  <c r="Q22" i="1" s="1"/>
  <c r="AZ23" i="1"/>
  <c r="I23" i="1" s="1"/>
  <c r="AZ24" i="1"/>
  <c r="I24" i="1"/>
  <c r="AZ25" i="1"/>
  <c r="I25" i="1" s="1"/>
  <c r="AZ26" i="1"/>
  <c r="I26" i="1" s="1"/>
  <c r="AZ27" i="1"/>
  <c r="I27" i="1" s="1"/>
  <c r="Q27" i="1" s="1"/>
  <c r="AZ28" i="1"/>
  <c r="I28" i="1"/>
  <c r="AZ29" i="1"/>
  <c r="I29" i="1" s="1"/>
  <c r="AZ30" i="1"/>
  <c r="I30" i="1" s="1"/>
  <c r="Q30" i="1" s="1"/>
  <c r="AZ31" i="1"/>
  <c r="I31" i="1" s="1"/>
  <c r="AZ32" i="1"/>
  <c r="I32" i="1"/>
  <c r="AZ33" i="1"/>
  <c r="I33" i="1" s="1"/>
  <c r="AZ34" i="1"/>
  <c r="I34" i="1" s="1"/>
  <c r="Q34" i="1" s="1"/>
  <c r="AZ35" i="1"/>
  <c r="I35" i="1" s="1"/>
  <c r="Q35" i="1" s="1"/>
  <c r="AZ36" i="1"/>
  <c r="I36" i="1"/>
  <c r="Q36" i="1" s="1"/>
  <c r="AZ37" i="1"/>
  <c r="I37" i="1" s="1"/>
  <c r="AZ38" i="1"/>
  <c r="I38" i="1" s="1"/>
  <c r="Q38" i="1" s="1"/>
  <c r="AZ39" i="1"/>
  <c r="I39" i="1" s="1"/>
  <c r="AZ40" i="1"/>
  <c r="I40" i="1"/>
  <c r="Q40" i="1" s="1"/>
  <c r="AZ41" i="1"/>
  <c r="I41" i="1" s="1"/>
  <c r="AZ42" i="1"/>
  <c r="I42" i="1" s="1"/>
  <c r="AZ43" i="1"/>
  <c r="I43" i="1" s="1"/>
  <c r="Q43" i="1" s="1"/>
  <c r="AZ4" i="1"/>
  <c r="I4" i="1" s="1"/>
  <c r="BB5" i="1"/>
  <c r="M5" i="1" s="1"/>
  <c r="BB6" i="1"/>
  <c r="M6" i="1" s="1"/>
  <c r="BB7" i="1"/>
  <c r="M7" i="1" s="1"/>
  <c r="BB8" i="1"/>
  <c r="M8" i="1"/>
  <c r="AH54" i="3" s="1"/>
  <c r="BB9" i="1"/>
  <c r="M9" i="1" s="1"/>
  <c r="BB10" i="1"/>
  <c r="M10" i="1" s="1"/>
  <c r="U10" i="1" s="1"/>
  <c r="BB11" i="1"/>
  <c r="M11" i="1" s="1"/>
  <c r="BB12" i="1"/>
  <c r="M12" i="1" s="1"/>
  <c r="AH58" i="3" s="1"/>
  <c r="BB13" i="1"/>
  <c r="M13" i="1"/>
  <c r="U13" i="1" s="1"/>
  <c r="BB14" i="1"/>
  <c r="M14" i="1" s="1"/>
  <c r="BB15" i="1"/>
  <c r="M15" i="1" s="1"/>
  <c r="BB16" i="1"/>
  <c r="M16" i="1" s="1"/>
  <c r="BB17" i="1"/>
  <c r="M17" i="1" s="1"/>
  <c r="BB18" i="1"/>
  <c r="M18" i="1" s="1"/>
  <c r="BB19" i="1"/>
  <c r="M19" i="1" s="1"/>
  <c r="U19" i="1" s="1"/>
  <c r="BB20" i="1"/>
  <c r="M20" i="1"/>
  <c r="U20" i="1" s="1"/>
  <c r="BB21" i="1"/>
  <c r="M21" i="1" s="1"/>
  <c r="BB22" i="1"/>
  <c r="M22" i="1" s="1"/>
  <c r="AH68" i="3" s="1"/>
  <c r="BB23" i="1"/>
  <c r="M23" i="1"/>
  <c r="U23" i="1" s="1"/>
  <c r="BB24" i="1"/>
  <c r="M24" i="1" s="1"/>
  <c r="BB25" i="1"/>
  <c r="M25" i="1" s="1"/>
  <c r="BB26" i="1"/>
  <c r="M26" i="1" s="1"/>
  <c r="BB27" i="1"/>
  <c r="M27" i="1"/>
  <c r="BB28" i="1"/>
  <c r="M28" i="1"/>
  <c r="BB29" i="1"/>
  <c r="M29" i="1" s="1"/>
  <c r="BB30" i="1"/>
  <c r="M30" i="1" s="1"/>
  <c r="BB31" i="1"/>
  <c r="M31" i="1" s="1"/>
  <c r="U31" i="1" s="1"/>
  <c r="BB32" i="1"/>
  <c r="M32" i="1" s="1"/>
  <c r="BB33" i="1"/>
  <c r="M33" i="1" s="1"/>
  <c r="U33" i="1" s="1"/>
  <c r="BB34" i="1"/>
  <c r="M34" i="1" s="1"/>
  <c r="BB35" i="1"/>
  <c r="M35" i="1"/>
  <c r="BB36" i="1"/>
  <c r="M36" i="1" s="1"/>
  <c r="BB37" i="1"/>
  <c r="M37" i="1" s="1"/>
  <c r="BB38" i="1"/>
  <c r="M38" i="1" s="1"/>
  <c r="AH84" i="3" s="1"/>
  <c r="BB39" i="1"/>
  <c r="M39" i="1"/>
  <c r="U39" i="1" s="1"/>
  <c r="BB40" i="1"/>
  <c r="M40" i="1" s="1"/>
  <c r="BB41" i="1"/>
  <c r="M41" i="1" s="1"/>
  <c r="U41" i="1" s="1"/>
  <c r="BB42" i="1"/>
  <c r="M42" i="1" s="1"/>
  <c r="BB43" i="1"/>
  <c r="M43" i="1"/>
  <c r="U43" i="1" s="1"/>
  <c r="BB4" i="1"/>
  <c r="M4" i="1" s="1"/>
  <c r="BA5" i="1"/>
  <c r="L5" i="1" s="1"/>
  <c r="BA6" i="1"/>
  <c r="L6" i="1" s="1"/>
  <c r="T6" i="1" s="1"/>
  <c r="BA7" i="1"/>
  <c r="L7" i="1"/>
  <c r="T7" i="1" s="1"/>
  <c r="BA8" i="1"/>
  <c r="L8" i="1" s="1"/>
  <c r="BA9" i="1"/>
  <c r="L9" i="1" s="1"/>
  <c r="BA10" i="1"/>
  <c r="L10" i="1" s="1"/>
  <c r="BA11" i="1"/>
  <c r="L11" i="1"/>
  <c r="BA12" i="1"/>
  <c r="L12" i="1" s="1"/>
  <c r="BA13" i="1"/>
  <c r="L13" i="1" s="1"/>
  <c r="BA14" i="1"/>
  <c r="L14" i="1" s="1"/>
  <c r="BA15" i="1"/>
  <c r="L15" i="1"/>
  <c r="BA16" i="1"/>
  <c r="L16" i="1" s="1"/>
  <c r="BA17" i="1"/>
  <c r="L17" i="1" s="1"/>
  <c r="BA18" i="1"/>
  <c r="L18" i="1" s="1"/>
  <c r="BA19" i="1"/>
  <c r="L19" i="1"/>
  <c r="BA20" i="1"/>
  <c r="L20" i="1" s="1"/>
  <c r="BA21" i="1"/>
  <c r="L21" i="1" s="1"/>
  <c r="BA22" i="1"/>
  <c r="L22" i="1" s="1"/>
  <c r="BA23" i="1"/>
  <c r="L23" i="1"/>
  <c r="BA24" i="1"/>
  <c r="L24" i="1" s="1"/>
  <c r="BA25" i="1"/>
  <c r="L25" i="1" s="1"/>
  <c r="BA26" i="1"/>
  <c r="L26" i="1" s="1"/>
  <c r="BA27" i="1"/>
  <c r="L27" i="1"/>
  <c r="BA28" i="1"/>
  <c r="L28" i="1" s="1"/>
  <c r="BA29" i="1"/>
  <c r="L29" i="1" s="1"/>
  <c r="BA30" i="1"/>
  <c r="L30" i="1" s="1"/>
  <c r="T30" i="1" s="1"/>
  <c r="BA31" i="1"/>
  <c r="BA32" i="1"/>
  <c r="L32" i="1" s="1"/>
  <c r="T32" i="1" s="1"/>
  <c r="BA33" i="1"/>
  <c r="L33" i="1"/>
  <c r="T33" i="1" s="1"/>
  <c r="BA34" i="1"/>
  <c r="L34" i="1" s="1"/>
  <c r="T34" i="1" s="1"/>
  <c r="BA35" i="1"/>
  <c r="L35" i="1" s="1"/>
  <c r="T35" i="1" s="1"/>
  <c r="BA36" i="1"/>
  <c r="L36" i="1" s="1"/>
  <c r="T36" i="1" s="1"/>
  <c r="BA37" i="1"/>
  <c r="L37" i="1"/>
  <c r="BA38" i="1"/>
  <c r="L38" i="1" s="1"/>
  <c r="BA39" i="1"/>
  <c r="L39" i="1" s="1"/>
  <c r="BA40" i="1"/>
  <c r="L40" i="1" s="1"/>
  <c r="T40" i="1" s="1"/>
  <c r="BA41" i="1"/>
  <c r="L41" i="1"/>
  <c r="T41" i="1" s="1"/>
  <c r="BA42" i="1"/>
  <c r="L42" i="1" s="1"/>
  <c r="BA43" i="1"/>
  <c r="L43" i="1" s="1"/>
  <c r="BA4" i="1"/>
  <c r="AY5" i="1"/>
  <c r="H5" i="1" s="1"/>
  <c r="AY6" i="1"/>
  <c r="H6" i="1" s="1"/>
  <c r="AY7" i="1"/>
  <c r="H7" i="1" s="1"/>
  <c r="AY8" i="1"/>
  <c r="H8" i="1"/>
  <c r="P8" i="1" s="1"/>
  <c r="AY9" i="1"/>
  <c r="H9" i="1" s="1"/>
  <c r="AY10" i="1"/>
  <c r="H10" i="1" s="1"/>
  <c r="P10" i="1" s="1"/>
  <c r="AY11" i="1"/>
  <c r="H11" i="1" s="1"/>
  <c r="AY12" i="1"/>
  <c r="H12" i="1"/>
  <c r="AY13" i="1"/>
  <c r="H13" i="1" s="1"/>
  <c r="AY14" i="1"/>
  <c r="H14" i="1" s="1"/>
  <c r="AY15" i="1"/>
  <c r="H15" i="1" s="1"/>
  <c r="AY16" i="1"/>
  <c r="H16" i="1"/>
  <c r="AY17" i="1"/>
  <c r="H17" i="1" s="1"/>
  <c r="AY18" i="1"/>
  <c r="AY19" i="1"/>
  <c r="H19" i="1" s="1"/>
  <c r="AY20" i="1"/>
  <c r="H20" i="1"/>
  <c r="AY21" i="1"/>
  <c r="H21" i="1" s="1"/>
  <c r="AY22" i="1"/>
  <c r="H22" i="1" s="1"/>
  <c r="AY23" i="1"/>
  <c r="H23" i="1" s="1"/>
  <c r="AY24" i="1"/>
  <c r="H24" i="1"/>
  <c r="P24" i="1" s="1"/>
  <c r="AY25" i="1"/>
  <c r="H25" i="1" s="1"/>
  <c r="AY26" i="1"/>
  <c r="H26" i="1" s="1"/>
  <c r="AY27" i="1"/>
  <c r="H27" i="1" s="1"/>
  <c r="AY28" i="1"/>
  <c r="H28" i="1"/>
  <c r="AY29" i="1"/>
  <c r="H29" i="1" s="1"/>
  <c r="AY30" i="1"/>
  <c r="H30" i="1" s="1"/>
  <c r="AY31" i="1"/>
  <c r="H31" i="1" s="1"/>
  <c r="AY32" i="1"/>
  <c r="H32" i="1"/>
  <c r="P32" i="1" s="1"/>
  <c r="AY33" i="1"/>
  <c r="H33" i="1" s="1"/>
  <c r="AY34" i="1"/>
  <c r="H34" i="1" s="1"/>
  <c r="P34" i="1" s="1"/>
  <c r="AY35" i="1"/>
  <c r="H35" i="1" s="1"/>
  <c r="AY36" i="1"/>
  <c r="H36" i="1"/>
  <c r="AY37" i="1"/>
  <c r="H37" i="1" s="1"/>
  <c r="AY38" i="1"/>
  <c r="H38" i="1" s="1"/>
  <c r="AY39" i="1"/>
  <c r="H39" i="1" s="1"/>
  <c r="AY40" i="1"/>
  <c r="H40" i="1"/>
  <c r="P40" i="1" s="1"/>
  <c r="AY41" i="1"/>
  <c r="H41" i="1" s="1"/>
  <c r="AY42" i="1"/>
  <c r="H42" i="1" s="1"/>
  <c r="P42" i="1" s="1"/>
  <c r="AY43" i="1"/>
  <c r="H43" i="1" s="1"/>
  <c r="P43" i="1" s="1"/>
  <c r="AY4" i="1"/>
  <c r="AU32" i="1"/>
  <c r="AU33" i="1"/>
  <c r="AU34" i="1"/>
  <c r="AU35" i="1"/>
  <c r="AU36" i="1"/>
  <c r="AU37" i="1"/>
  <c r="F37" i="1" s="1"/>
  <c r="AU38" i="1"/>
  <c r="AU39" i="1"/>
  <c r="AU40" i="1"/>
  <c r="AU41" i="1"/>
  <c r="F41" i="1" s="1"/>
  <c r="V41" i="1" s="1"/>
  <c r="AA41" i="1" s="1"/>
  <c r="AU42" i="1"/>
  <c r="AU43" i="1"/>
  <c r="AV5" i="1"/>
  <c r="AV6" i="1"/>
  <c r="AV7" i="1"/>
  <c r="AV8" i="1"/>
  <c r="AV9" i="1"/>
  <c r="AV10" i="1"/>
  <c r="AV11" i="1"/>
  <c r="AW11" i="1"/>
  <c r="AX11" i="1" s="1"/>
  <c r="AV12" i="1"/>
  <c r="AW12" i="1" s="1"/>
  <c r="AV13" i="1"/>
  <c r="AV14" i="1"/>
  <c r="AV15" i="1"/>
  <c r="AV16" i="1"/>
  <c r="AW16" i="1" s="1"/>
  <c r="AX16" i="1" s="1"/>
  <c r="AV17" i="1"/>
  <c r="AV18" i="1"/>
  <c r="AW18" i="1" s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F32" i="1"/>
  <c r="N32" i="1" s="1"/>
  <c r="AV33" i="1"/>
  <c r="AV34" i="1"/>
  <c r="AV35" i="1"/>
  <c r="AV36" i="1"/>
  <c r="AV37" i="1"/>
  <c r="AV38" i="1"/>
  <c r="AV39" i="1"/>
  <c r="AV40" i="1"/>
  <c r="AW40" i="1" s="1"/>
  <c r="AX40" i="1"/>
  <c r="AV41" i="1"/>
  <c r="AV42" i="1"/>
  <c r="AV43" i="1"/>
  <c r="F43" i="1" s="1"/>
  <c r="AV4" i="1"/>
  <c r="M7" i="28" s="1"/>
  <c r="AU5" i="1"/>
  <c r="AU6" i="1"/>
  <c r="AU7" i="1"/>
  <c r="AW7" i="1"/>
  <c r="AX7" i="1" s="1"/>
  <c r="AU8" i="1"/>
  <c r="F8" i="1" s="1"/>
  <c r="AU9" i="1"/>
  <c r="AU10" i="1"/>
  <c r="AU11" i="1"/>
  <c r="F11" i="1"/>
  <c r="AU12" i="1"/>
  <c r="AU13" i="1"/>
  <c r="AU14" i="1"/>
  <c r="AU15" i="1"/>
  <c r="AU16" i="1"/>
  <c r="AU17" i="1"/>
  <c r="AU18" i="1"/>
  <c r="AU19" i="1"/>
  <c r="AU20" i="1"/>
  <c r="AW20" i="1" s="1"/>
  <c r="AX20" i="1" s="1"/>
  <c r="AU21" i="1"/>
  <c r="F21" i="1"/>
  <c r="AU22" i="1"/>
  <c r="AU23" i="1"/>
  <c r="AW23" i="1" s="1"/>
  <c r="AX23" i="1"/>
  <c r="AU24" i="1"/>
  <c r="AW24" i="1" s="1"/>
  <c r="AX24" i="1" s="1"/>
  <c r="AU25" i="1"/>
  <c r="AW25" i="1" s="1"/>
  <c r="AX25" i="1" s="1"/>
  <c r="AU26" i="1"/>
  <c r="AU27" i="1"/>
  <c r="F27" i="1" s="1"/>
  <c r="N27" i="1" s="1"/>
  <c r="AU28" i="1"/>
  <c r="AU29" i="1"/>
  <c r="AU30" i="1"/>
  <c r="AU31" i="1"/>
  <c r="AU4" i="1"/>
  <c r="AA47" i="29" s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B29" i="15"/>
  <c r="G34" i="15" s="1"/>
  <c r="N1" i="25"/>
  <c r="M1" i="25"/>
  <c r="N1" i="24"/>
  <c r="M1" i="24"/>
  <c r="N1" i="23"/>
  <c r="M1" i="23"/>
  <c r="N1" i="22"/>
  <c r="M1" i="22"/>
  <c r="N1" i="21"/>
  <c r="M1" i="21"/>
  <c r="N1" i="20"/>
  <c r="M1" i="20"/>
  <c r="N1" i="19"/>
  <c r="M1" i="19"/>
  <c r="N1" i="18"/>
  <c r="M1" i="18"/>
  <c r="E5" i="1"/>
  <c r="AH51" i="3" s="1"/>
  <c r="E6" i="1"/>
  <c r="E7" i="1"/>
  <c r="E8" i="1"/>
  <c r="P54" i="3" s="1"/>
  <c r="E9" i="1"/>
  <c r="P55" i="3" s="1"/>
  <c r="E10" i="1"/>
  <c r="E11" i="1"/>
  <c r="E12" i="1"/>
  <c r="E13" i="1"/>
  <c r="P59" i="3" s="1"/>
  <c r="E14" i="1"/>
  <c r="E15" i="1"/>
  <c r="P61" i="3" s="1"/>
  <c r="E16" i="1"/>
  <c r="P62" i="3" s="1"/>
  <c r="E17" i="1"/>
  <c r="P63" i="3" s="1"/>
  <c r="E18" i="1"/>
  <c r="E19" i="1"/>
  <c r="P65" i="3" s="1"/>
  <c r="E20" i="1"/>
  <c r="P66" i="3" s="1"/>
  <c r="E21" i="1"/>
  <c r="P67" i="3" s="1"/>
  <c r="E22" i="1"/>
  <c r="E23" i="1"/>
  <c r="P69" i="3" s="1"/>
  <c r="E24" i="1"/>
  <c r="P70" i="3" s="1"/>
  <c r="E25" i="1"/>
  <c r="E26" i="1"/>
  <c r="P72" i="3" s="1"/>
  <c r="E27" i="1"/>
  <c r="P73" i="3" s="1"/>
  <c r="E28" i="1"/>
  <c r="P74" i="3" s="1"/>
  <c r="E29" i="1"/>
  <c r="E30" i="1"/>
  <c r="E31" i="1"/>
  <c r="E32" i="1"/>
  <c r="E33" i="1"/>
  <c r="E34" i="1"/>
  <c r="P80" i="3" s="1"/>
  <c r="E35" i="1"/>
  <c r="E36" i="1"/>
  <c r="P82" i="3" s="1"/>
  <c r="E37" i="1"/>
  <c r="P83" i="3" s="1"/>
  <c r="E38" i="1"/>
  <c r="P84" i="3" s="1"/>
  <c r="E39" i="1"/>
  <c r="E40" i="1"/>
  <c r="P86" i="3" s="1"/>
  <c r="E41" i="1"/>
  <c r="P87" i="3" s="1"/>
  <c r="E42" i="1"/>
  <c r="E43" i="1"/>
  <c r="P89" i="3" s="1"/>
  <c r="E4" i="1"/>
  <c r="N1" i="16"/>
  <c r="M1" i="16"/>
  <c r="P51" i="3"/>
  <c r="F3" i="2"/>
  <c r="F5" i="2"/>
  <c r="P68" i="3"/>
  <c r="T68" i="3" s="1"/>
  <c r="P78" i="3"/>
  <c r="S78" i="3" s="1"/>
  <c r="P88" i="3"/>
  <c r="AB88" i="3" s="1"/>
  <c r="P58" i="3"/>
  <c r="T58" i="3" s="1"/>
  <c r="P64" i="3"/>
  <c r="Y64" i="3" s="1"/>
  <c r="AW43" i="1"/>
  <c r="AX43" i="1" s="1"/>
  <c r="AW35" i="1"/>
  <c r="AX35" i="1" s="1"/>
  <c r="AW13" i="1"/>
  <c r="AX13" i="1" s="1"/>
  <c r="AE88" i="3"/>
  <c r="AA68" i="3"/>
  <c r="Z68" i="3"/>
  <c r="S33" i="1"/>
  <c r="S35" i="1"/>
  <c r="S37" i="1"/>
  <c r="S39" i="1"/>
  <c r="S41" i="1"/>
  <c r="S43" i="1"/>
  <c r="R36" i="1"/>
  <c r="R40" i="1"/>
  <c r="R32" i="1"/>
  <c r="O33" i="1"/>
  <c r="O35" i="1"/>
  <c r="O39" i="1"/>
  <c r="O43" i="1"/>
  <c r="T43" i="1"/>
  <c r="Q42" i="1"/>
  <c r="Q41" i="1"/>
  <c r="P41" i="1"/>
  <c r="U42" i="1"/>
  <c r="T42" i="1"/>
  <c r="T38" i="1"/>
  <c r="Q39" i="1"/>
  <c r="P39" i="1"/>
  <c r="P37" i="1"/>
  <c r="T39" i="1"/>
  <c r="P36" i="1"/>
  <c r="AH78" i="3"/>
  <c r="AW38" i="1"/>
  <c r="AX38" i="1" s="1"/>
  <c r="AH88" i="3"/>
  <c r="AH80" i="3"/>
  <c r="AW42" i="1"/>
  <c r="AX42" i="1" s="1"/>
  <c r="AW34" i="1"/>
  <c r="AX34" i="1" s="1"/>
  <c r="P76" i="3"/>
  <c r="P60" i="3"/>
  <c r="X60" i="3" s="1"/>
  <c r="R88" i="3"/>
  <c r="AG58" i="3"/>
  <c r="Z88" i="3"/>
  <c r="V68" i="3"/>
  <c r="AD78" i="3"/>
  <c r="R34" i="1"/>
  <c r="R38" i="1"/>
  <c r="O41" i="1"/>
  <c r="R42" i="1"/>
  <c r="O37" i="1"/>
  <c r="P38" i="1"/>
  <c r="T37" i="1"/>
  <c r="P35" i="1"/>
  <c r="P33" i="1"/>
  <c r="Q37" i="1"/>
  <c r="Z76" i="3"/>
  <c r="Y60" i="3"/>
  <c r="Q64" i="3"/>
  <c r="U64" i="3"/>
  <c r="V64" i="3"/>
  <c r="W64" i="3"/>
  <c r="X64" i="3"/>
  <c r="S64" i="3"/>
  <c r="AF64" i="3"/>
  <c r="T64" i="3"/>
  <c r="R58" i="3"/>
  <c r="AE58" i="3"/>
  <c r="Q58" i="3"/>
  <c r="Y78" i="3"/>
  <c r="Y58" i="3"/>
  <c r="Y68" i="3"/>
  <c r="X78" i="3"/>
  <c r="AG68" i="3"/>
  <c r="Q88" i="3"/>
  <c r="AC64" i="3"/>
  <c r="S58" i="3"/>
  <c r="R68" i="3"/>
  <c r="Z58" i="3"/>
  <c r="P56" i="3"/>
  <c r="F38" i="1"/>
  <c r="F16" i="1"/>
  <c r="F20" i="1"/>
  <c r="F10" i="1"/>
  <c r="F18" i="1"/>
  <c r="N38" i="1"/>
  <c r="AB65" i="3"/>
  <c r="U37" i="1"/>
  <c r="U34" i="1"/>
  <c r="U32" i="1"/>
  <c r="AH83" i="3"/>
  <c r="AH86" i="3"/>
  <c r="AH82" i="3"/>
  <c r="F23" i="1"/>
  <c r="U40" i="1"/>
  <c r="U36" i="1"/>
  <c r="U35" i="1"/>
  <c r="AD60" i="3"/>
  <c r="R65" i="3"/>
  <c r="AF60" i="3"/>
  <c r="AG60" i="3"/>
  <c r="AA64" i="3"/>
  <c r="AE64" i="3"/>
  <c r="AW31" i="1"/>
  <c r="AX31" i="1"/>
  <c r="AW30" i="1"/>
  <c r="AX30" i="1"/>
  <c r="AW10" i="1"/>
  <c r="AX10" i="1" s="1"/>
  <c r="AD64" i="3"/>
  <c r="AH89" i="3"/>
  <c r="V65" i="3"/>
  <c r="AB64" i="3"/>
  <c r="AG64" i="3"/>
  <c r="Y65" i="3"/>
  <c r="V55" i="3"/>
  <c r="R55" i="3"/>
  <c r="T55" i="3"/>
  <c r="Q55" i="3"/>
  <c r="W51" i="3"/>
  <c r="S51" i="3"/>
  <c r="AD51" i="3"/>
  <c r="AW28" i="1"/>
  <c r="AX28" i="1" s="1"/>
  <c r="AW17" i="1"/>
  <c r="AX17" i="1" s="1"/>
  <c r="F40" i="1"/>
  <c r="AX12" i="1"/>
  <c r="AW32" i="1"/>
  <c r="AX32" i="1"/>
  <c r="AA47" i="26"/>
  <c r="F13" i="1"/>
  <c r="V13" i="1" s="1"/>
  <c r="F24" i="1"/>
  <c r="N40" i="1"/>
  <c r="F17" i="1"/>
  <c r="AW19" i="1"/>
  <c r="AX19" i="1" s="1"/>
  <c r="AW29" i="1"/>
  <c r="AX29" i="1" s="1"/>
  <c r="L31" i="1"/>
  <c r="N13" i="28"/>
  <c r="N7" i="28"/>
  <c r="AG11" i="28"/>
  <c r="AH11" i="28"/>
  <c r="F31" i="1"/>
  <c r="Z56" i="3"/>
  <c r="S60" i="3"/>
  <c r="AA60" i="3"/>
  <c r="AC60" i="3"/>
  <c r="W60" i="3"/>
  <c r="AB60" i="3"/>
  <c r="V60" i="3"/>
  <c r="T60" i="3"/>
  <c r="R60" i="3"/>
  <c r="AA58" i="3"/>
  <c r="T88" i="3"/>
  <c r="Z78" i="3"/>
  <c r="Q68" i="3"/>
  <c r="AF88" i="3"/>
  <c r="AE78" i="3"/>
  <c r="R64" i="3"/>
  <c r="S68" i="3"/>
  <c r="W88" i="3"/>
  <c r="AB58" i="3"/>
  <c r="W68" i="3"/>
  <c r="Z55" i="3"/>
  <c r="AD88" i="3"/>
  <c r="U88" i="3"/>
  <c r="AF78" i="3"/>
  <c r="AC78" i="3"/>
  <c r="Y88" i="3"/>
  <c r="AF68" i="3"/>
  <c r="Z64" i="3"/>
  <c r="W78" i="3"/>
  <c r="AG88" i="3"/>
  <c r="S88" i="3"/>
  <c r="AC68" i="3"/>
  <c r="U68" i="3"/>
  <c r="X58" i="3"/>
  <c r="V58" i="3"/>
  <c r="W58" i="3"/>
  <c r="P50" i="3"/>
  <c r="R50" i="3" s="1"/>
  <c r="S50" i="3"/>
  <c r="AE50" i="3"/>
  <c r="X50" i="3"/>
  <c r="AE60" i="3"/>
  <c r="AE76" i="3"/>
  <c r="Q76" i="3"/>
  <c r="AG78" i="3"/>
  <c r="W65" i="3"/>
  <c r="Q60" i="3"/>
  <c r="U60" i="3"/>
  <c r="AB76" i="3"/>
  <c r="Y76" i="3"/>
  <c r="W87" i="3"/>
  <c r="Q78" i="3"/>
  <c r="T78" i="3"/>
  <c r="V88" i="3"/>
  <c r="R78" i="3"/>
  <c r="AD58" i="3"/>
  <c r="S87" i="3"/>
  <c r="AB78" i="3"/>
  <c r="P75" i="3"/>
  <c r="AA88" i="3"/>
  <c r="X88" i="3"/>
  <c r="Z75" i="3"/>
  <c r="U75" i="3"/>
  <c r="R61" i="3"/>
  <c r="AG61" i="3"/>
  <c r="S61" i="3"/>
  <c r="W69" i="3"/>
  <c r="Y69" i="3"/>
  <c r="S69" i="3"/>
  <c r="Q32" i="1"/>
  <c r="F28" i="1"/>
  <c r="V11" i="1"/>
  <c r="AA11" i="1" s="1"/>
  <c r="Q33" i="1"/>
  <c r="R11" i="1"/>
  <c r="T11" i="1"/>
  <c r="O11" i="1"/>
  <c r="U11" i="1"/>
  <c r="S11" i="1"/>
  <c r="N11" i="1"/>
  <c r="P11" i="1"/>
  <c r="AB69" i="3"/>
  <c r="AC61" i="3"/>
  <c r="AG50" i="3"/>
  <c r="V50" i="3"/>
  <c r="AF50" i="3"/>
  <c r="X51" i="3"/>
  <c r="H7" i="28"/>
  <c r="AG13" i="28"/>
  <c r="AW21" i="1"/>
  <c r="AX21" i="1" s="1"/>
  <c r="F26" i="1"/>
  <c r="AW9" i="1"/>
  <c r="AX9" i="1" s="1"/>
  <c r="AW27" i="1"/>
  <c r="AX27" i="1" s="1"/>
  <c r="I7" i="28"/>
  <c r="L4" i="1"/>
  <c r="AH13" i="28"/>
  <c r="F4" i="1"/>
  <c r="F7" i="1"/>
  <c r="F22" i="1"/>
  <c r="F5" i="1"/>
  <c r="H8" i="15"/>
  <c r="AH76" i="3"/>
  <c r="AH75" i="3"/>
  <c r="AH74" i="3"/>
  <c r="AH72" i="3"/>
  <c r="AH66" i="3"/>
  <c r="AH64" i="3"/>
  <c r="AH63" i="3"/>
  <c r="AH60" i="3"/>
  <c r="AH59" i="3"/>
  <c r="AH50" i="3"/>
  <c r="I8" i="15"/>
  <c r="R75" i="3"/>
  <c r="AB75" i="3"/>
  <c r="U50" i="3"/>
  <c r="AB50" i="3"/>
  <c r="V56" i="3"/>
  <c r="X68" i="3"/>
  <c r="AW26" i="1"/>
  <c r="AX26" i="1" s="1"/>
  <c r="V17" i="1"/>
  <c r="V23" i="1"/>
  <c r="AF11" i="28"/>
  <c r="M13" i="28"/>
  <c r="AX18" i="1"/>
  <c r="AW22" i="1"/>
  <c r="AX22" i="1"/>
  <c r="V27" i="1"/>
  <c r="D8" i="15"/>
  <c r="AW4" i="1"/>
  <c r="AX4" i="1" s="1"/>
  <c r="E34" i="15"/>
  <c r="V8" i="1"/>
  <c r="AW8" i="1"/>
  <c r="AX8" i="1" s="1"/>
  <c r="V20" i="1"/>
  <c r="AW15" i="1"/>
  <c r="AX15" i="1" s="1"/>
  <c r="F19" i="1"/>
  <c r="V19" i="1" s="1"/>
  <c r="R4" i="1"/>
  <c r="S17" i="1"/>
  <c r="R28" i="1"/>
  <c r="U24" i="1"/>
  <c r="R31" i="1"/>
  <c r="S26" i="1"/>
  <c r="R14" i="1"/>
  <c r="Q12" i="1"/>
  <c r="U5" i="1"/>
  <c r="S9" i="1"/>
  <c r="T21" i="1"/>
  <c r="O5" i="1"/>
  <c r="S24" i="1"/>
  <c r="S31" i="1"/>
  <c r="R13" i="1"/>
  <c r="P21" i="1"/>
  <c r="O10" i="1"/>
  <c r="N24" i="1"/>
  <c r="U26" i="1"/>
  <c r="R24" i="1"/>
  <c r="Q28" i="1"/>
  <c r="T16" i="1"/>
  <c r="S22" i="1"/>
  <c r="O22" i="1"/>
  <c r="U6" i="1"/>
  <c r="U30" i="1"/>
  <c r="T8" i="1"/>
  <c r="S14" i="1"/>
  <c r="O9" i="1"/>
  <c r="S23" i="1"/>
  <c r="T10" i="1"/>
  <c r="O29" i="1"/>
  <c r="O18" i="1"/>
  <c r="N16" i="1"/>
  <c r="S10" i="1"/>
  <c r="R22" i="1"/>
  <c r="U17" i="1"/>
  <c r="Q14" i="1"/>
  <c r="T15" i="1"/>
  <c r="Q16" i="1"/>
  <c r="O31" i="1"/>
  <c r="Q25" i="1"/>
  <c r="T18" i="1"/>
  <c r="U16" i="1"/>
  <c r="R20" i="1"/>
  <c r="T12" i="1"/>
  <c r="S7" i="1"/>
  <c r="P27" i="1"/>
  <c r="P7" i="1"/>
  <c r="U28" i="1"/>
  <c r="U14" i="1"/>
  <c r="R6" i="1"/>
  <c r="Q18" i="1"/>
  <c r="N31" i="1"/>
  <c r="O27" i="1"/>
  <c r="U27" i="1"/>
  <c r="T19" i="1"/>
  <c r="T27" i="1"/>
  <c r="U9" i="1"/>
  <c r="T24" i="1"/>
  <c r="R26" i="1"/>
  <c r="S15" i="1"/>
  <c r="Q23" i="1"/>
  <c r="O7" i="1"/>
  <c r="Q24" i="1"/>
  <c r="Q9" i="1"/>
  <c r="U15" i="1"/>
  <c r="R12" i="1"/>
  <c r="S21" i="1"/>
  <c r="T22" i="1"/>
  <c r="T31" i="1"/>
  <c r="O19" i="1"/>
  <c r="Q10" i="1"/>
  <c r="S16" i="1"/>
  <c r="R18" i="1"/>
  <c r="N17" i="1"/>
  <c r="S6" i="1"/>
  <c r="N26" i="1"/>
  <c r="P28" i="1"/>
  <c r="S5" i="1"/>
  <c r="N23" i="1"/>
  <c r="S25" i="1"/>
  <c r="T26" i="1"/>
  <c r="T28" i="1"/>
  <c r="T5" i="1"/>
  <c r="O13" i="1"/>
  <c r="N4" i="1"/>
  <c r="Q17" i="1"/>
  <c r="P25" i="1"/>
  <c r="P9" i="1"/>
  <c r="Q19" i="1"/>
  <c r="P5" i="1"/>
  <c r="S20" i="1"/>
  <c r="T29" i="1"/>
  <c r="S27" i="1"/>
  <c r="R23" i="1"/>
  <c r="R30" i="1"/>
  <c r="T20" i="1"/>
  <c r="Q7" i="1"/>
  <c r="O15" i="1"/>
  <c r="T13" i="1"/>
  <c r="O23" i="1"/>
  <c r="T9" i="1"/>
  <c r="R16" i="1"/>
  <c r="P6" i="1"/>
  <c r="P23" i="1"/>
  <c r="Q5" i="1"/>
  <c r="U29" i="1"/>
  <c r="U18" i="1"/>
  <c r="O17" i="1"/>
  <c r="O25" i="1"/>
  <c r="Q31" i="1"/>
  <c r="T17" i="1"/>
  <c r="P19" i="1"/>
  <c r="N5" i="1"/>
  <c r="Q21" i="1"/>
  <c r="N20" i="1"/>
  <c r="T4" i="1"/>
  <c r="T23" i="1"/>
  <c r="P14" i="1"/>
  <c r="U21" i="1"/>
  <c r="P15" i="1"/>
  <c r="N21" i="1"/>
  <c r="S13" i="1"/>
  <c r="P26" i="1"/>
  <c r="S19" i="1"/>
  <c r="N13" i="1"/>
  <c r="P29" i="1"/>
  <c r="R9" i="1"/>
  <c r="P16" i="1"/>
  <c r="R10" i="1"/>
  <c r="N22" i="1"/>
  <c r="P12" i="1"/>
  <c r="P20" i="1"/>
  <c r="R8" i="1"/>
  <c r="S8" i="1"/>
  <c r="S29" i="1"/>
  <c r="Q6" i="1"/>
  <c r="Q29" i="1"/>
  <c r="U25" i="1"/>
  <c r="P30" i="1"/>
  <c r="N19" i="1"/>
  <c r="N8" i="1"/>
  <c r="Q15" i="1"/>
  <c r="P13" i="1"/>
  <c r="Q8" i="1"/>
  <c r="Q26" i="1"/>
  <c r="N28" i="1"/>
  <c r="T14" i="1"/>
  <c r="N7" i="1"/>
  <c r="T25" i="1"/>
  <c r="S4" i="1"/>
  <c r="P17" i="1"/>
  <c r="R15" i="1"/>
  <c r="P22" i="1"/>
  <c r="U4" i="1"/>
  <c r="N10" i="1"/>
  <c r="O4" i="1"/>
  <c r="N18" i="1"/>
  <c r="Q13" i="1"/>
  <c r="O21" i="1"/>
  <c r="U7" i="1"/>
  <c r="Q4" i="1"/>
  <c r="U22" i="1"/>
  <c r="BD36" i="1"/>
  <c r="BD34" i="1"/>
  <c r="BD40" i="1"/>
  <c r="BD43" i="1"/>
  <c r="BD42" i="1"/>
  <c r="BD41" i="1"/>
  <c r="BD38" i="1"/>
  <c r="BD37" i="1"/>
  <c r="BD30" i="1"/>
  <c r="BD23" i="1"/>
  <c r="BD26" i="1"/>
  <c r="BD17" i="1"/>
  <c r="BD16" i="1"/>
  <c r="BD27" i="1"/>
  <c r="BD10" i="1"/>
  <c r="BD5" i="1"/>
  <c r="BD18" i="1"/>
  <c r="BD19" i="1"/>
  <c r="BD15" i="1"/>
  <c r="BD28" i="1"/>
  <c r="BD25" i="1"/>
  <c r="BD9" i="1"/>
  <c r="BD35" i="1"/>
  <c r="BD39" i="1"/>
  <c r="BD33" i="1"/>
  <c r="BD32" i="1"/>
  <c r="BD12" i="1"/>
  <c r="BD24" i="1"/>
  <c r="BD14" i="1"/>
  <c r="BD29" i="1"/>
  <c r="BD7" i="1"/>
  <c r="BD20" i="1"/>
  <c r="BD8" i="1"/>
  <c r="BD22" i="1"/>
  <c r="BD21" i="1"/>
  <c r="BD4" i="1"/>
  <c r="BD31" i="1"/>
  <c r="BD6" i="1"/>
  <c r="BD13" i="1"/>
  <c r="BD11" i="1"/>
  <c r="Y67" i="3" l="1"/>
  <c r="Q67" i="3"/>
  <c r="S67" i="3"/>
  <c r="AF67" i="3"/>
  <c r="AG67" i="3"/>
  <c r="Z67" i="3"/>
  <c r="AD67" i="3"/>
  <c r="U67" i="3"/>
  <c r="AB67" i="3"/>
  <c r="AC67" i="3"/>
  <c r="AE67" i="3"/>
  <c r="W67" i="3"/>
  <c r="AA67" i="3"/>
  <c r="X67" i="3"/>
  <c r="T67" i="3"/>
  <c r="R67" i="3"/>
  <c r="V67" i="3"/>
  <c r="V31" i="1"/>
  <c r="P31" i="1"/>
  <c r="Y31" i="1" s="1"/>
  <c r="V18" i="1"/>
  <c r="AA18" i="1" s="1"/>
  <c r="AD75" i="3"/>
  <c r="W75" i="3"/>
  <c r="T75" i="3"/>
  <c r="S75" i="3"/>
  <c r="AE75" i="3"/>
  <c r="AA75" i="3"/>
  <c r="AC75" i="3"/>
  <c r="V75" i="3"/>
  <c r="AG75" i="3"/>
  <c r="R56" i="3"/>
  <c r="AF56" i="3"/>
  <c r="Q56" i="3"/>
  <c r="AE56" i="3"/>
  <c r="Y56" i="3"/>
  <c r="AG56" i="3"/>
  <c r="X56" i="3"/>
  <c r="AF51" i="3"/>
  <c r="V51" i="3"/>
  <c r="AE51" i="3"/>
  <c r="U51" i="3"/>
  <c r="T51" i="3"/>
  <c r="AA51" i="3"/>
  <c r="R51" i="3"/>
  <c r="Q51" i="3"/>
  <c r="Y51" i="3"/>
  <c r="AC51" i="3"/>
  <c r="Z87" i="3"/>
  <c r="R87" i="3"/>
  <c r="T87" i="3"/>
  <c r="AG87" i="3"/>
  <c r="AF87" i="3"/>
  <c r="AD87" i="3"/>
  <c r="U87" i="3"/>
  <c r="AB87" i="3"/>
  <c r="X87" i="3"/>
  <c r="AE87" i="3"/>
  <c r="P85" i="3"/>
  <c r="AH85" i="3"/>
  <c r="P81" i="3"/>
  <c r="AH81" i="3"/>
  <c r="P79" i="3"/>
  <c r="AH79" i="3"/>
  <c r="P77" i="3"/>
  <c r="AH77" i="3"/>
  <c r="P71" i="3"/>
  <c r="AH71" i="3"/>
  <c r="Q69" i="3"/>
  <c r="AG69" i="3"/>
  <c r="AF69" i="3"/>
  <c r="R69" i="3"/>
  <c r="AE69" i="3"/>
  <c r="X69" i="3"/>
  <c r="T69" i="3"/>
  <c r="V69" i="3"/>
  <c r="AD69" i="3"/>
  <c r="Z65" i="3"/>
  <c r="AE65" i="3"/>
  <c r="X65" i="3"/>
  <c r="Q65" i="3"/>
  <c r="S65" i="3"/>
  <c r="AF65" i="3"/>
  <c r="AD65" i="3"/>
  <c r="AA65" i="3"/>
  <c r="T61" i="3"/>
  <c r="W61" i="3"/>
  <c r="AB61" i="3"/>
  <c r="Q61" i="3"/>
  <c r="AD61" i="3"/>
  <c r="U61" i="3"/>
  <c r="V61" i="3"/>
  <c r="AE61" i="3"/>
  <c r="Y61" i="3"/>
  <c r="AH57" i="3"/>
  <c r="P57" i="3"/>
  <c r="U55" i="3"/>
  <c r="AD55" i="3"/>
  <c r="AG55" i="3"/>
  <c r="AC55" i="3"/>
  <c r="W55" i="3"/>
  <c r="AB55" i="3"/>
  <c r="S55" i="3"/>
  <c r="AA55" i="3"/>
  <c r="X55" i="3"/>
  <c r="P53" i="3"/>
  <c r="S53" i="3" s="1"/>
  <c r="AH53" i="3"/>
  <c r="V43" i="1"/>
  <c r="N43" i="1"/>
  <c r="W43" i="1" s="1"/>
  <c r="F39" i="1"/>
  <c r="AW39" i="1"/>
  <c r="AX39" i="1" s="1"/>
  <c r="N37" i="1"/>
  <c r="W37" i="1" s="1"/>
  <c r="V37" i="1"/>
  <c r="H4" i="1"/>
  <c r="M11" i="28"/>
  <c r="N11" i="28"/>
  <c r="H18" i="1"/>
  <c r="P18" i="1" s="1"/>
  <c r="Z18" i="1" s="1"/>
  <c r="O38" i="1"/>
  <c r="Y38" i="1" s="1"/>
  <c r="V38" i="1"/>
  <c r="O32" i="1"/>
  <c r="Z32" i="1" s="1"/>
  <c r="V32" i="1"/>
  <c r="V28" i="1"/>
  <c r="V24" i="1"/>
  <c r="V10" i="1"/>
  <c r="AA10" i="1" s="1"/>
  <c r="O28" i="1"/>
  <c r="W28" i="1" s="1"/>
  <c r="O6" i="1"/>
  <c r="C9" i="15" s="1"/>
  <c r="R7" i="1"/>
  <c r="W7" i="1" s="1"/>
  <c r="O26" i="1"/>
  <c r="Y26" i="1" s="1"/>
  <c r="U8" i="1"/>
  <c r="W8" i="1" s="1"/>
  <c r="R21" i="1"/>
  <c r="W21" i="1" s="1"/>
  <c r="U12" i="1"/>
  <c r="O24" i="1"/>
  <c r="Y24" i="1" s="1"/>
  <c r="F25" i="1"/>
  <c r="AB56" i="3"/>
  <c r="AF75" i="3"/>
  <c r="X75" i="3"/>
  <c r="AH55" i="3"/>
  <c r="AH69" i="3"/>
  <c r="V5" i="1"/>
  <c r="V7" i="1"/>
  <c r="AA7" i="1" s="1"/>
  <c r="W56" i="3"/>
  <c r="Z69" i="3"/>
  <c r="AH61" i="3"/>
  <c r="U69" i="3"/>
  <c r="AC69" i="3"/>
  <c r="AA69" i="3"/>
  <c r="Z61" i="3"/>
  <c r="AA61" i="3"/>
  <c r="AF61" i="3"/>
  <c r="Q75" i="3"/>
  <c r="Y75" i="3"/>
  <c r="T65" i="3"/>
  <c r="S56" i="3"/>
  <c r="AC56" i="3"/>
  <c r="V40" i="1"/>
  <c r="Z51" i="3"/>
  <c r="AG51" i="3"/>
  <c r="AB51" i="3"/>
  <c r="AF55" i="3"/>
  <c r="Y55" i="3"/>
  <c r="AE55" i="3"/>
  <c r="AA56" i="3"/>
  <c r="U65" i="3"/>
  <c r="AG65" i="3"/>
  <c r="Y87" i="3"/>
  <c r="U56" i="3"/>
  <c r="U38" i="1"/>
  <c r="V16" i="1"/>
  <c r="AA16" i="1" s="1"/>
  <c r="AC65" i="3"/>
  <c r="V87" i="3"/>
  <c r="X41" i="1"/>
  <c r="N41" i="1"/>
  <c r="Y41" i="1" s="1"/>
  <c r="Q87" i="3"/>
  <c r="AC87" i="3"/>
  <c r="AA87" i="3"/>
  <c r="AC76" i="3"/>
  <c r="AG76" i="3"/>
  <c r="W76" i="3"/>
  <c r="AA76" i="3"/>
  <c r="S76" i="3"/>
  <c r="AW41" i="1"/>
  <c r="AX41" i="1" s="1"/>
  <c r="F6" i="1"/>
  <c r="AW6" i="1"/>
  <c r="AX6" i="1" s="1"/>
  <c r="AW14" i="1"/>
  <c r="AX14" i="1" s="1"/>
  <c r="F14" i="1"/>
  <c r="F42" i="1"/>
  <c r="AW36" i="1"/>
  <c r="AX36" i="1" s="1"/>
  <c r="F36" i="1"/>
  <c r="F34" i="1"/>
  <c r="AH52" i="3"/>
  <c r="F29" i="1"/>
  <c r="AW37" i="1"/>
  <c r="AX37" i="1" s="1"/>
  <c r="F30" i="1"/>
  <c r="N30" i="1" s="1"/>
  <c r="W30" i="1" s="1"/>
  <c r="F15" i="1"/>
  <c r="F9" i="1"/>
  <c r="AW5" i="1"/>
  <c r="AX5" i="1" s="1"/>
  <c r="F35" i="1"/>
  <c r="E31" i="15"/>
  <c r="X61" i="3"/>
  <c r="E5" i="15"/>
  <c r="I10" i="15" s="1"/>
  <c r="F6" i="2"/>
  <c r="D31" i="15"/>
  <c r="G36" i="15" s="1"/>
  <c r="D34" i="15"/>
  <c r="H34" i="15"/>
  <c r="I34" i="15"/>
  <c r="C34" i="15"/>
  <c r="A31" i="15"/>
  <c r="I36" i="15"/>
  <c r="R89" i="3"/>
  <c r="X89" i="3"/>
  <c r="V89" i="3"/>
  <c r="AG89" i="3"/>
  <c r="AC89" i="3"/>
  <c r="S89" i="3"/>
  <c r="Z89" i="3"/>
  <c r="T89" i="3"/>
  <c r="AE89" i="3"/>
  <c r="AD89" i="3"/>
  <c r="AA89" i="3"/>
  <c r="U89" i="3"/>
  <c r="Y89" i="3"/>
  <c r="AB89" i="3"/>
  <c r="AF89" i="3"/>
  <c r="W89" i="3"/>
  <c r="Q89" i="3"/>
  <c r="AE85" i="3"/>
  <c r="X85" i="3"/>
  <c r="R85" i="3"/>
  <c r="Y85" i="3"/>
  <c r="T85" i="3"/>
  <c r="S85" i="3"/>
  <c r="W85" i="3"/>
  <c r="U85" i="3"/>
  <c r="Z85" i="3"/>
  <c r="AG85" i="3"/>
  <c r="AD85" i="3"/>
  <c r="V85" i="3"/>
  <c r="AA85" i="3"/>
  <c r="AB85" i="3"/>
  <c r="Q85" i="3"/>
  <c r="AF85" i="3"/>
  <c r="AC85" i="3"/>
  <c r="X83" i="3"/>
  <c r="Q83" i="3"/>
  <c r="AF83" i="3"/>
  <c r="AD83" i="3"/>
  <c r="AE83" i="3"/>
  <c r="Z83" i="3"/>
  <c r="V83" i="3"/>
  <c r="AC83" i="3"/>
  <c r="AG83" i="3"/>
  <c r="R83" i="3"/>
  <c r="T83" i="3"/>
  <c r="AA83" i="3"/>
  <c r="U83" i="3"/>
  <c r="AB83" i="3"/>
  <c r="S83" i="3"/>
  <c r="Y83" i="3"/>
  <c r="W83" i="3"/>
  <c r="V77" i="3"/>
  <c r="Y77" i="3"/>
  <c r="Z77" i="3"/>
  <c r="AG77" i="3"/>
  <c r="AD77" i="3"/>
  <c r="AB77" i="3"/>
  <c r="W77" i="3"/>
  <c r="T77" i="3"/>
  <c r="Q77" i="3"/>
  <c r="AF77" i="3"/>
  <c r="S77" i="3"/>
  <c r="R77" i="3"/>
  <c r="X77" i="3"/>
  <c r="AE77" i="3"/>
  <c r="U77" i="3"/>
  <c r="AA77" i="3"/>
  <c r="AC77" i="3"/>
  <c r="R86" i="3"/>
  <c r="T86" i="3"/>
  <c r="V86" i="3"/>
  <c r="AB86" i="3"/>
  <c r="U86" i="3"/>
  <c r="Q86" i="3"/>
  <c r="AC86" i="3"/>
  <c r="S86" i="3"/>
  <c r="AG86" i="3"/>
  <c r="X86" i="3"/>
  <c r="AA86" i="3"/>
  <c r="Y86" i="3"/>
  <c r="AF86" i="3"/>
  <c r="AE86" i="3"/>
  <c r="AD86" i="3"/>
  <c r="W86" i="3"/>
  <c r="Z86" i="3"/>
  <c r="X84" i="3"/>
  <c r="AD84" i="3"/>
  <c r="AB84" i="3"/>
  <c r="AA84" i="3"/>
  <c r="AF84" i="3"/>
  <c r="Y84" i="3"/>
  <c r="V84" i="3"/>
  <c r="AC84" i="3"/>
  <c r="T84" i="3"/>
  <c r="S84" i="3"/>
  <c r="R84" i="3"/>
  <c r="U84" i="3"/>
  <c r="Z84" i="3"/>
  <c r="W84" i="3"/>
  <c r="AE84" i="3"/>
  <c r="Q84" i="3"/>
  <c r="AG84" i="3"/>
  <c r="AG82" i="3"/>
  <c r="U82" i="3"/>
  <c r="Y82" i="3"/>
  <c r="Z82" i="3"/>
  <c r="R82" i="3"/>
  <c r="S82" i="3"/>
  <c r="W82" i="3"/>
  <c r="AC82" i="3"/>
  <c r="X82" i="3"/>
  <c r="V82" i="3"/>
  <c r="AA82" i="3"/>
  <c r="AD82" i="3"/>
  <c r="T82" i="3"/>
  <c r="AF82" i="3"/>
  <c r="AB82" i="3"/>
  <c r="AE82" i="3"/>
  <c r="Q82" i="3"/>
  <c r="R66" i="3"/>
  <c r="AE66" i="3"/>
  <c r="Z66" i="3"/>
  <c r="U66" i="3"/>
  <c r="T66" i="3"/>
  <c r="X66" i="3"/>
  <c r="AF66" i="3"/>
  <c r="AG66" i="3"/>
  <c r="AB66" i="3"/>
  <c r="Q66" i="3"/>
  <c r="V66" i="3"/>
  <c r="AD66" i="3"/>
  <c r="W66" i="3"/>
  <c r="Y66" i="3"/>
  <c r="AA66" i="3"/>
  <c r="S66" i="3"/>
  <c r="AC66" i="3"/>
  <c r="Y50" i="3"/>
  <c r="W50" i="3"/>
  <c r="AA50" i="3"/>
  <c r="AB68" i="3"/>
  <c r="AC50" i="3"/>
  <c r="T50" i="3"/>
  <c r="Q50" i="3"/>
  <c r="Z50" i="3"/>
  <c r="AD50" i="3"/>
  <c r="AD56" i="3"/>
  <c r="T56" i="3"/>
  <c r="Z60" i="3"/>
  <c r="U76" i="3"/>
  <c r="V76" i="3"/>
  <c r="AF58" i="3"/>
  <c r="AC58" i="3"/>
  <c r="AC88" i="3"/>
  <c r="U58" i="3"/>
  <c r="R76" i="3"/>
  <c r="AF80" i="3"/>
  <c r="AB80" i="3"/>
  <c r="Z80" i="3"/>
  <c r="Y80" i="3"/>
  <c r="AE80" i="3"/>
  <c r="R80" i="3"/>
  <c r="S80" i="3"/>
  <c r="AD80" i="3"/>
  <c r="Q80" i="3"/>
  <c r="AG80" i="3"/>
  <c r="AA80" i="3"/>
  <c r="W80" i="3"/>
  <c r="V80" i="3"/>
  <c r="T80" i="3"/>
  <c r="AC80" i="3"/>
  <c r="X80" i="3"/>
  <c r="U80" i="3"/>
  <c r="X73" i="3"/>
  <c r="Y73" i="3"/>
  <c r="R73" i="3"/>
  <c r="S73" i="3"/>
  <c r="U73" i="3"/>
  <c r="AF73" i="3"/>
  <c r="AA73" i="3"/>
  <c r="AB73" i="3"/>
  <c r="AE73" i="3"/>
  <c r="AD73" i="3"/>
  <c r="T73" i="3"/>
  <c r="AG73" i="3"/>
  <c r="V73" i="3"/>
  <c r="W73" i="3"/>
  <c r="Q73" i="3"/>
  <c r="AC73" i="3"/>
  <c r="Z73" i="3"/>
  <c r="AB71" i="3"/>
  <c r="S71" i="3"/>
  <c r="T71" i="3"/>
  <c r="Z71" i="3"/>
  <c r="AG71" i="3"/>
  <c r="R71" i="3"/>
  <c r="AF71" i="3"/>
  <c r="V71" i="3"/>
  <c r="W71" i="3"/>
  <c r="Q71" i="3"/>
  <c r="AC71" i="3"/>
  <c r="AA71" i="3"/>
  <c r="AE71" i="3"/>
  <c r="AD71" i="3"/>
  <c r="X71" i="3"/>
  <c r="U71" i="3"/>
  <c r="Y71" i="3"/>
  <c r="Y54" i="3"/>
  <c r="AF54" i="3"/>
  <c r="W54" i="3"/>
  <c r="AB54" i="3"/>
  <c r="AG54" i="3"/>
  <c r="S54" i="3"/>
  <c r="V54" i="3"/>
  <c r="AE54" i="3"/>
  <c r="AC54" i="3"/>
  <c r="AA54" i="3"/>
  <c r="R54" i="3"/>
  <c r="T54" i="3"/>
  <c r="X54" i="3"/>
  <c r="AD54" i="3"/>
  <c r="Q54" i="3"/>
  <c r="Z54" i="3"/>
  <c r="U54" i="3"/>
  <c r="AA81" i="3"/>
  <c r="AF81" i="3"/>
  <c r="AC81" i="3"/>
  <c r="AB81" i="3"/>
  <c r="AE81" i="3"/>
  <c r="AD81" i="3"/>
  <c r="V81" i="3"/>
  <c r="W81" i="3"/>
  <c r="S81" i="3"/>
  <c r="Q81" i="3"/>
  <c r="R81" i="3"/>
  <c r="AG81" i="3"/>
  <c r="Z81" i="3"/>
  <c r="X81" i="3"/>
  <c r="Y81" i="3"/>
  <c r="T81" i="3"/>
  <c r="U81" i="3"/>
  <c r="AE74" i="3"/>
  <c r="AG74" i="3"/>
  <c r="S74" i="3"/>
  <c r="X74" i="3"/>
  <c r="AA74" i="3"/>
  <c r="AB74" i="3"/>
  <c r="W74" i="3"/>
  <c r="Z74" i="3"/>
  <c r="U74" i="3"/>
  <c r="Q74" i="3"/>
  <c r="Y74" i="3"/>
  <c r="T74" i="3"/>
  <c r="AD74" i="3"/>
  <c r="AF74" i="3"/>
  <c r="R74" i="3"/>
  <c r="V74" i="3"/>
  <c r="AC74" i="3"/>
  <c r="U72" i="3"/>
  <c r="Z72" i="3"/>
  <c r="S72" i="3"/>
  <c r="Y72" i="3"/>
  <c r="V72" i="3"/>
  <c r="T72" i="3"/>
  <c r="AE72" i="3"/>
  <c r="AB72" i="3"/>
  <c r="AD72" i="3"/>
  <c r="AG72" i="3"/>
  <c r="AF72" i="3"/>
  <c r="R72" i="3"/>
  <c r="W72" i="3"/>
  <c r="X72" i="3"/>
  <c r="Q72" i="3"/>
  <c r="AA72" i="3"/>
  <c r="AC72" i="3"/>
  <c r="Z70" i="3"/>
  <c r="R70" i="3"/>
  <c r="AB70" i="3"/>
  <c r="Y70" i="3"/>
  <c r="V70" i="3"/>
  <c r="Q70" i="3"/>
  <c r="AD70" i="3"/>
  <c r="AG70" i="3"/>
  <c r="T70" i="3"/>
  <c r="U70" i="3"/>
  <c r="AE70" i="3"/>
  <c r="AF70" i="3"/>
  <c r="AC70" i="3"/>
  <c r="S70" i="3"/>
  <c r="AA70" i="3"/>
  <c r="W70" i="3"/>
  <c r="X70" i="3"/>
  <c r="S63" i="3"/>
  <c r="R63" i="3"/>
  <c r="AG63" i="3"/>
  <c r="W63" i="3"/>
  <c r="Z63" i="3"/>
  <c r="Q63" i="3"/>
  <c r="Y63" i="3"/>
  <c r="AC63" i="3"/>
  <c r="V63" i="3"/>
  <c r="AA63" i="3"/>
  <c r="AD63" i="3"/>
  <c r="AE63" i="3"/>
  <c r="AF63" i="3"/>
  <c r="AB63" i="3"/>
  <c r="T63" i="3"/>
  <c r="U63" i="3"/>
  <c r="X63" i="3"/>
  <c r="R59" i="3"/>
  <c r="Y59" i="3"/>
  <c r="T59" i="3"/>
  <c r="AD59" i="3"/>
  <c r="AE59" i="3"/>
  <c r="AC59" i="3"/>
  <c r="Q59" i="3"/>
  <c r="X59" i="3"/>
  <c r="W59" i="3"/>
  <c r="AG59" i="3"/>
  <c r="U59" i="3"/>
  <c r="Z59" i="3"/>
  <c r="AF59" i="3"/>
  <c r="AA59" i="3"/>
  <c r="AB59" i="3"/>
  <c r="V59" i="3"/>
  <c r="S59" i="3"/>
  <c r="AG53" i="3"/>
  <c r="AF53" i="3"/>
  <c r="AA53" i="3"/>
  <c r="Q53" i="3"/>
  <c r="W53" i="3"/>
  <c r="U53" i="3"/>
  <c r="AB53" i="3"/>
  <c r="Y53" i="3"/>
  <c r="AG62" i="3"/>
  <c r="W62" i="3"/>
  <c r="Y62" i="3"/>
  <c r="AC62" i="3"/>
  <c r="AB62" i="3"/>
  <c r="R62" i="3"/>
  <c r="AE62" i="3"/>
  <c r="AA62" i="3"/>
  <c r="AF62" i="3"/>
  <c r="V62" i="3"/>
  <c r="Q62" i="3"/>
  <c r="S62" i="3"/>
  <c r="U62" i="3"/>
  <c r="T62" i="3"/>
  <c r="AD62" i="3"/>
  <c r="Z62" i="3"/>
  <c r="X62" i="3"/>
  <c r="T79" i="3"/>
  <c r="AC79" i="3"/>
  <c r="V79" i="3"/>
  <c r="AF79" i="3"/>
  <c r="AG79" i="3"/>
  <c r="S79" i="3"/>
  <c r="AE79" i="3"/>
  <c r="AD76" i="3"/>
  <c r="T76" i="3"/>
  <c r="AF76" i="3"/>
  <c r="X76" i="3"/>
  <c r="V78" i="3"/>
  <c r="AE68" i="3"/>
  <c r="U78" i="3"/>
  <c r="AA78" i="3"/>
  <c r="AD68" i="3"/>
  <c r="P52" i="3"/>
  <c r="AH87" i="3"/>
  <c r="AH70" i="3"/>
  <c r="AH67" i="3"/>
  <c r="AH73" i="3"/>
  <c r="AH65" i="3"/>
  <c r="AH62" i="3"/>
  <c r="AH56" i="3"/>
  <c r="AA40" i="1"/>
  <c r="X40" i="1"/>
  <c r="B34" i="15"/>
  <c r="V30" i="1"/>
  <c r="AA47" i="30"/>
  <c r="F12" i="1"/>
  <c r="AW33" i="1"/>
  <c r="AX33" i="1" s="1"/>
  <c r="F33" i="1"/>
  <c r="Y40" i="1"/>
  <c r="J24" i="29"/>
  <c r="J24" i="26"/>
  <c r="J24" i="30"/>
  <c r="X11" i="1"/>
  <c r="Z11" i="1"/>
  <c r="Z40" i="1"/>
  <c r="W32" i="1"/>
  <c r="W40" i="1"/>
  <c r="W11" i="1"/>
  <c r="Y11" i="1"/>
  <c r="W18" i="1"/>
  <c r="Y18" i="1"/>
  <c r="Z10" i="1"/>
  <c r="W10" i="1"/>
  <c r="Y10" i="1"/>
  <c r="C35" i="15"/>
  <c r="Y7" i="1"/>
  <c r="Y28" i="1"/>
  <c r="Z28" i="1"/>
  <c r="Z8" i="1"/>
  <c r="Y8" i="1"/>
  <c r="Z19" i="1"/>
  <c r="Y19" i="1"/>
  <c r="W19" i="1"/>
  <c r="D35" i="15"/>
  <c r="E9" i="15"/>
  <c r="G9" i="15"/>
  <c r="Y22" i="1"/>
  <c r="W22" i="1"/>
  <c r="Z22" i="1"/>
  <c r="D9" i="15"/>
  <c r="W13" i="1"/>
  <c r="Y13" i="1"/>
  <c r="Z13" i="1"/>
  <c r="H35" i="15"/>
  <c r="Y20" i="1"/>
  <c r="Z20" i="1"/>
  <c r="W20" i="1"/>
  <c r="Y5" i="1"/>
  <c r="W5" i="1"/>
  <c r="Z5" i="1"/>
  <c r="I9" i="15"/>
  <c r="F35" i="15"/>
  <c r="H9" i="15"/>
  <c r="W23" i="1"/>
  <c r="Z23" i="1"/>
  <c r="Y23" i="1"/>
  <c r="Z30" i="1"/>
  <c r="Y17" i="1"/>
  <c r="Z17" i="1"/>
  <c r="W17" i="1"/>
  <c r="F9" i="15"/>
  <c r="E35" i="15"/>
  <c r="G35" i="15"/>
  <c r="W31" i="1"/>
  <c r="Z31" i="1"/>
  <c r="Y16" i="1"/>
  <c r="W16" i="1"/>
  <c r="Z16" i="1"/>
  <c r="I35" i="15"/>
  <c r="Z27" i="1"/>
  <c r="W27" i="1"/>
  <c r="Y27" i="1"/>
  <c r="W24" i="1"/>
  <c r="N12" i="1"/>
  <c r="AA19" i="1"/>
  <c r="AA23" i="1"/>
  <c r="AA17" i="1"/>
  <c r="AA28" i="1"/>
  <c r="AA8" i="1"/>
  <c r="AA22" i="1"/>
  <c r="AA5" i="1"/>
  <c r="AA21" i="1"/>
  <c r="AA26" i="1"/>
  <c r="AA24" i="1"/>
  <c r="AA13" i="1"/>
  <c r="AA20" i="1"/>
  <c r="AA31" i="1"/>
  <c r="AA27" i="1"/>
  <c r="W26" i="1" l="1"/>
  <c r="Z21" i="1"/>
  <c r="Y32" i="1"/>
  <c r="Z26" i="1"/>
  <c r="W41" i="1"/>
  <c r="Y37" i="1"/>
  <c r="Z41" i="1"/>
  <c r="Y30" i="1"/>
  <c r="Z7" i="1"/>
  <c r="Z43" i="1"/>
  <c r="Y43" i="1"/>
  <c r="V15" i="1"/>
  <c r="AA15" i="1" s="1"/>
  <c r="N15" i="1"/>
  <c r="N36" i="1"/>
  <c r="V36" i="1"/>
  <c r="V42" i="1"/>
  <c r="N42" i="1"/>
  <c r="B8" i="15"/>
  <c r="N6" i="1"/>
  <c r="V6" i="1"/>
  <c r="V4" i="1"/>
  <c r="AA4" i="1" s="1"/>
  <c r="P4" i="1"/>
  <c r="N39" i="1"/>
  <c r="V39" i="1"/>
  <c r="AA43" i="1"/>
  <c r="X43" i="1"/>
  <c r="AG57" i="3"/>
  <c r="V57" i="3"/>
  <c r="AF57" i="3"/>
  <c r="U57" i="3"/>
  <c r="X57" i="3"/>
  <c r="AD57" i="3"/>
  <c r="W57" i="3"/>
  <c r="AE57" i="3"/>
  <c r="AC57" i="3"/>
  <c r="T57" i="3"/>
  <c r="AB57" i="3"/>
  <c r="S57" i="3"/>
  <c r="AA57" i="3"/>
  <c r="Q57" i="3"/>
  <c r="Z57" i="3"/>
  <c r="R57" i="3"/>
  <c r="Z24" i="1"/>
  <c r="Y21" i="1"/>
  <c r="W38" i="1"/>
  <c r="Z38" i="1"/>
  <c r="Z37" i="1"/>
  <c r="G31" i="15"/>
  <c r="R53" i="3"/>
  <c r="AE53" i="3"/>
  <c r="T53" i="3"/>
  <c r="V53" i="3"/>
  <c r="AD53" i="3"/>
  <c r="Z53" i="3"/>
  <c r="X53" i="3"/>
  <c r="AC53" i="3"/>
  <c r="Y57" i="3"/>
  <c r="N35" i="1"/>
  <c r="V35" i="1"/>
  <c r="V9" i="1"/>
  <c r="AA9" i="1" s="1"/>
  <c r="N9" i="1"/>
  <c r="V29" i="1"/>
  <c r="AA29" i="1" s="1"/>
  <c r="N29" i="1"/>
  <c r="N34" i="1"/>
  <c r="V34" i="1"/>
  <c r="V14" i="1"/>
  <c r="AA14" i="1" s="1"/>
  <c r="N14" i="1"/>
  <c r="V25" i="1"/>
  <c r="AA25" i="1" s="1"/>
  <c r="N25" i="1"/>
  <c r="AA32" i="1"/>
  <c r="X32" i="1"/>
  <c r="X38" i="1"/>
  <c r="AA38" i="1"/>
  <c r="AA37" i="1"/>
  <c r="X37" i="1"/>
  <c r="AA79" i="3"/>
  <c r="AB79" i="3"/>
  <c r="Z79" i="3"/>
  <c r="Y79" i="3"/>
  <c r="U79" i="3"/>
  <c r="W79" i="3"/>
  <c r="AD79" i="3"/>
  <c r="R79" i="3"/>
  <c r="Q79" i="3"/>
  <c r="X79" i="3"/>
  <c r="B10" i="15"/>
  <c r="C10" i="15"/>
  <c r="F10" i="15"/>
  <c r="G10" i="15"/>
  <c r="D10" i="15"/>
  <c r="H10" i="15"/>
  <c r="E10" i="15"/>
  <c r="B35" i="15"/>
  <c r="H36" i="15"/>
  <c r="D36" i="15"/>
  <c r="E36" i="15"/>
  <c r="B36" i="15"/>
  <c r="F36" i="15"/>
  <c r="C36" i="15"/>
  <c r="Z52" i="3"/>
  <c r="Y52" i="3"/>
  <c r="AG52" i="3"/>
  <c r="AC52" i="3"/>
  <c r="W52" i="3"/>
  <c r="V52" i="3"/>
  <c r="Q52" i="3"/>
  <c r="U52" i="3"/>
  <c r="AA52" i="3"/>
  <c r="AD52" i="3"/>
  <c r="AB52" i="3"/>
  <c r="R52" i="3"/>
  <c r="AF52" i="3"/>
  <c r="X52" i="3"/>
  <c r="S52" i="3"/>
  <c r="T52" i="3"/>
  <c r="AE52" i="3"/>
  <c r="Z12" i="1"/>
  <c r="W12" i="1"/>
  <c r="Y12" i="1"/>
  <c r="V33" i="1"/>
  <c r="N33" i="1"/>
  <c r="V12" i="1"/>
  <c r="X12" i="1" s="1"/>
  <c r="X27" i="1"/>
  <c r="X6" i="1"/>
  <c r="X31" i="1"/>
  <c r="X20" i="1"/>
  <c r="X13" i="1"/>
  <c r="X24" i="1"/>
  <c r="X16" i="1"/>
  <c r="X26" i="1"/>
  <c r="X9" i="1"/>
  <c r="X21" i="1"/>
  <c r="X14" i="1"/>
  <c r="X4" i="1"/>
  <c r="X5" i="1"/>
  <c r="X10" i="1"/>
  <c r="X22" i="1"/>
  <c r="X8" i="1"/>
  <c r="X28" i="1"/>
  <c r="X7" i="1"/>
  <c r="X17" i="1"/>
  <c r="X23" i="1"/>
  <c r="X19" i="1"/>
  <c r="X18" i="1"/>
  <c r="H31" i="15"/>
  <c r="AA30" i="1"/>
  <c r="W34" i="1" l="1"/>
  <c r="Y34" i="1"/>
  <c r="Z34" i="1"/>
  <c r="Y35" i="1"/>
  <c r="Z35" i="1"/>
  <c r="W35" i="1"/>
  <c r="AA39" i="1"/>
  <c r="X39" i="1"/>
  <c r="W4" i="1"/>
  <c r="Y4" i="1"/>
  <c r="Z4" i="1"/>
  <c r="G5" i="15"/>
  <c r="AA6" i="1"/>
  <c r="X42" i="1"/>
  <c r="AA42" i="1"/>
  <c r="Z36" i="1"/>
  <c r="W36" i="1"/>
  <c r="Y36" i="1"/>
  <c r="AA12" i="1"/>
  <c r="X15" i="1"/>
  <c r="B15" i="2" s="1"/>
  <c r="X25" i="1"/>
  <c r="Y25" i="1"/>
  <c r="Z25" i="1"/>
  <c r="W25" i="1"/>
  <c r="W14" i="1"/>
  <c r="Z14" i="1"/>
  <c r="Y14" i="1"/>
  <c r="X34" i="1"/>
  <c r="AA34" i="1"/>
  <c r="Y29" i="1"/>
  <c r="W29" i="1"/>
  <c r="Z29" i="1"/>
  <c r="W9" i="1"/>
  <c r="Z9" i="1"/>
  <c r="Y9" i="1"/>
  <c r="X35" i="1"/>
  <c r="AA35" i="1"/>
  <c r="Y39" i="1"/>
  <c r="Z39" i="1"/>
  <c r="W39" i="1"/>
  <c r="Y6" i="1"/>
  <c r="Z6" i="1"/>
  <c r="W6" i="1"/>
  <c r="H5" i="15" s="1"/>
  <c r="Z42" i="1"/>
  <c r="W42" i="1"/>
  <c r="Y42" i="1"/>
  <c r="AA36" i="1"/>
  <c r="X36" i="1"/>
  <c r="W15" i="1"/>
  <c r="Z15" i="1"/>
  <c r="Y15" i="1"/>
  <c r="B9" i="15"/>
  <c r="W33" i="1"/>
  <c r="Z33" i="1"/>
  <c r="Y33" i="1"/>
  <c r="AA33" i="1"/>
  <c r="X33" i="1"/>
  <c r="X29" i="1"/>
  <c r="I5" i="15" s="1"/>
  <c r="X30" i="1"/>
  <c r="I31" i="15" s="1"/>
  <c r="B13" i="2"/>
  <c r="B9" i="2"/>
  <c r="B5" i="2"/>
  <c r="B3" i="2" l="1"/>
  <c r="B7" i="2"/>
  <c r="B11" i="2"/>
</calcChain>
</file>

<file path=xl/sharedStrings.xml><?xml version="1.0" encoding="utf-8"?>
<sst xmlns="http://schemas.openxmlformats.org/spreadsheetml/2006/main" count="399" uniqueCount="177">
  <si>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</si>
  <si>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</si>
  <si>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</si>
  <si>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</si>
  <si>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</si>
  <si>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</si>
  <si>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</si>
  <si>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</si>
  <si>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</si>
  <si>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</si>
  <si>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</si>
  <si>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</si>
  <si>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</si>
  <si>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</si>
  <si>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受験者数</t>
  </si>
  <si>
    <t>測定値</t>
    <rPh sb="0" eb="3">
      <t>ソクテイチ</t>
    </rPh>
    <phoneticPr fontId="1"/>
  </si>
  <si>
    <t>得点</t>
    <rPh sb="0" eb="2">
      <t>トクテン</t>
    </rPh>
    <phoneticPr fontId="1"/>
  </si>
  <si>
    <t>種目数</t>
    <rPh sb="0" eb="2">
      <t>シュモク</t>
    </rPh>
    <rPh sb="2" eb="3">
      <t>スウ</t>
    </rPh>
    <phoneticPr fontId="1"/>
  </si>
  <si>
    <t>総合評価</t>
    <rPh sb="0" eb="2">
      <t>ソウゴウ</t>
    </rPh>
    <phoneticPr fontId="1"/>
  </si>
  <si>
    <t>級外</t>
    <rPh sb="0" eb="1">
      <t>キュウ</t>
    </rPh>
    <rPh sb="1" eb="2">
      <t>ガイ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</si>
  <si>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</si>
  <si>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</si>
  <si>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性別</t>
    <rPh sb="0" eb="2">
      <t>セイベツ</t>
    </rPh>
    <phoneticPr fontId="1"/>
  </si>
  <si>
    <t>上体
起こし</t>
    <rPh sb="3" eb="4">
      <t>オ</t>
    </rPh>
    <phoneticPr fontId="1"/>
  </si>
  <si>
    <t>種目数</t>
    <rPh sb="0" eb="2">
      <t>シュモク</t>
    </rPh>
    <rPh sb="2" eb="3">
      <t>カズ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</si>
  <si>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</si>
  <si>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</si>
  <si>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</si>
  <si>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</si>
  <si>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</si>
  <si>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</si>
  <si>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</si>
  <si>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年齢変換表</t>
    <rPh sb="0" eb="2">
      <t>ネンレイ</t>
    </rPh>
    <rPh sb="2" eb="4">
      <t>ヘンカン</t>
    </rPh>
    <rPh sb="4" eb="5">
      <t>ヒョウ</t>
    </rPh>
    <phoneticPr fontId="1"/>
  </si>
  <si>
    <t>４種目</t>
    <phoneticPr fontId="1"/>
  </si>
  <si>
    <t>立幅
とび</t>
    <phoneticPr fontId="1"/>
  </si>
  <si>
    <t>No.</t>
    <phoneticPr fontId="1"/>
  </si>
  <si>
    <t>参照先変換表</t>
    <rPh sb="0" eb="2">
      <t>サンショウ</t>
    </rPh>
    <rPh sb="2" eb="3">
      <t>サキ</t>
    </rPh>
    <rPh sb="3" eb="5">
      <t>ヘンカン</t>
    </rPh>
    <rPh sb="5" eb="6">
      <t>ヒョウ</t>
    </rPh>
    <phoneticPr fontId="1"/>
  </si>
  <si>
    <t>上体起男子</t>
    <rPh sb="0" eb="2">
      <t>ジョウタイ</t>
    </rPh>
    <rPh sb="2" eb="3">
      <t>オ</t>
    </rPh>
    <rPh sb="3" eb="5">
      <t>ダンシ</t>
    </rPh>
    <phoneticPr fontId="1"/>
  </si>
  <si>
    <t>上体起女子</t>
    <rPh sb="0" eb="2">
      <t>ジョウタイ</t>
    </rPh>
    <rPh sb="2" eb="3">
      <t>オ</t>
    </rPh>
    <rPh sb="3" eb="5">
      <t>ジョシ</t>
    </rPh>
    <phoneticPr fontId="1"/>
  </si>
  <si>
    <t>幼年判定</t>
    <rPh sb="0" eb="2">
      <t>ヨウネン</t>
    </rPh>
    <rPh sb="2" eb="4">
      <t>ハンテイ</t>
    </rPh>
    <phoneticPr fontId="1"/>
  </si>
  <si>
    <t>列</t>
    <rPh sb="0" eb="1">
      <t>レツ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</si>
  <si>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</si>
  <si>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</si>
  <si>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測定結果</t>
    <rPh sb="0" eb="2">
      <t>ソクテイ</t>
    </rPh>
    <rPh sb="2" eb="4">
      <t>ケッカ</t>
    </rPh>
    <phoneticPr fontId="1"/>
  </si>
  <si>
    <t>年</t>
    <rPh sb="0" eb="1">
      <t>ネン</t>
    </rPh>
    <phoneticPr fontId="1"/>
  </si>
  <si>
    <t>総合
評価</t>
    <rPh sb="3" eb="5">
      <t>ヒョウカ</t>
    </rPh>
    <phoneticPr fontId="1"/>
  </si>
  <si>
    <t>総合
評価</t>
    <rPh sb="0" eb="2">
      <t>ソウゴウ</t>
    </rPh>
    <rPh sb="3" eb="5">
      <t>ヒョウカ</t>
    </rPh>
    <phoneticPr fontId="1"/>
  </si>
  <si>
    <t>-----</t>
    <phoneticPr fontId="1"/>
  </si>
  <si>
    <t>男</t>
    <phoneticPr fontId="1"/>
  </si>
  <si>
    <t>女</t>
    <phoneticPr fontId="1"/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</si>
  <si>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</si>
  <si>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</si>
  <si>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</si>
  <si>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</si>
  <si>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</si>
  <si>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</si>
  <si>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</si>
  <si>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</si>
  <si>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</si>
  <si>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</si>
  <si>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</si>
  <si>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握力</t>
    <rPh sb="0" eb="2">
      <t>アクリョク</t>
    </rPh>
    <phoneticPr fontId="1"/>
  </si>
  <si>
    <t>長座体
前屈</t>
    <rPh sb="0" eb="2">
      <t>チョウザ</t>
    </rPh>
    <rPh sb="2" eb="3">
      <t>タイ</t>
    </rPh>
    <rPh sb="4" eb="6">
      <t>ゼンクツ</t>
    </rPh>
    <phoneticPr fontId="1"/>
  </si>
  <si>
    <t>反復
横とび</t>
    <rPh sb="0" eb="2">
      <t>ハンプク</t>
    </rPh>
    <rPh sb="3" eb="4">
      <t>ヨコ</t>
    </rPh>
    <phoneticPr fontId="1"/>
  </si>
  <si>
    <t>50ｍ走</t>
    <rPh sb="3" eb="4">
      <t>ソウ</t>
    </rPh>
    <phoneticPr fontId="1"/>
  </si>
  <si>
    <t>ソフトボール投げ</t>
    <rPh sb="6" eb="7">
      <t>ナ</t>
    </rPh>
    <phoneticPr fontId="1"/>
  </si>
  <si>
    <t>20ｍシャトルラン</t>
    <phoneticPr fontId="1"/>
  </si>
  <si>
    <t>　</t>
    <phoneticPr fontId="1"/>
  </si>
  <si>
    <t>　　</t>
    <phoneticPr fontId="1"/>
  </si>
  <si>
    <t>握力男子</t>
    <rPh sb="0" eb="2">
      <t>アクリョク</t>
    </rPh>
    <rPh sb="2" eb="4">
      <t>ダンシ</t>
    </rPh>
    <phoneticPr fontId="1"/>
  </si>
  <si>
    <t>握力女子</t>
    <rPh sb="0" eb="2">
      <t>アクリョク</t>
    </rPh>
    <rPh sb="2" eb="4">
      <t>ジョシ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</si>
  <si>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</si>
  <si>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</si>
  <si>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前屈男子</t>
    <rPh sb="0" eb="2">
      <t>ゼンクツ</t>
    </rPh>
    <rPh sb="2" eb="4">
      <t>ダンシ</t>
    </rPh>
    <phoneticPr fontId="1"/>
  </si>
  <si>
    <t>前屈女子</t>
    <rPh sb="0" eb="2">
      <t>ゼンクツ</t>
    </rPh>
    <rPh sb="2" eb="4">
      <t>ジョシ</t>
    </rPh>
    <phoneticPr fontId="1"/>
  </si>
  <si>
    <t>反復男子</t>
    <rPh sb="0" eb="2">
      <t>ハンプク</t>
    </rPh>
    <rPh sb="2" eb="4">
      <t>ダンシ</t>
    </rPh>
    <rPh sb="3" eb="4">
      <t>ユキオ</t>
    </rPh>
    <phoneticPr fontId="1"/>
  </si>
  <si>
    <t>反復女子</t>
    <rPh sb="0" eb="2">
      <t>ハンプク</t>
    </rPh>
    <rPh sb="2" eb="4">
      <t>ジョシ</t>
    </rPh>
    <phoneticPr fontId="1"/>
  </si>
  <si>
    <t>シャトル男子</t>
    <rPh sb="4" eb="6">
      <t>ダンシ</t>
    </rPh>
    <phoneticPr fontId="1"/>
  </si>
  <si>
    <t>シャトル女子</t>
    <rPh sb="4" eb="6">
      <t>ジョシ</t>
    </rPh>
    <phoneticPr fontId="1"/>
  </si>
  <si>
    <t>５０ｍ男子</t>
    <rPh sb="3" eb="5">
      <t>ダンシ</t>
    </rPh>
    <phoneticPr fontId="1"/>
  </si>
  <si>
    <t>５０ｍ女子</t>
    <rPh sb="3" eb="5">
      <t>ジョシ</t>
    </rPh>
    <phoneticPr fontId="1"/>
  </si>
  <si>
    <t>立ち幅男子</t>
    <rPh sb="0" eb="1">
      <t>タ</t>
    </rPh>
    <rPh sb="2" eb="3">
      <t>ハバ</t>
    </rPh>
    <rPh sb="3" eb="5">
      <t>ダンシ</t>
    </rPh>
    <phoneticPr fontId="1"/>
  </si>
  <si>
    <t>立ち幅女子</t>
    <rPh sb="0" eb="1">
      <t>タ</t>
    </rPh>
    <rPh sb="2" eb="3">
      <t>ハバ</t>
    </rPh>
    <rPh sb="3" eb="5">
      <t>ジョシ</t>
    </rPh>
    <phoneticPr fontId="1"/>
  </si>
  <si>
    <t>ソフト男子</t>
    <rPh sb="3" eb="5">
      <t>ダンシ</t>
    </rPh>
    <phoneticPr fontId="1"/>
  </si>
  <si>
    <t>ソフト女子</t>
    <rPh sb="3" eb="5">
      <t>ジョシ</t>
    </rPh>
    <phoneticPr fontId="1"/>
  </si>
  <si>
    <t>８種目</t>
    <phoneticPr fontId="1"/>
  </si>
  <si>
    <t xml:space="preserve">名　前 </t>
    <phoneticPr fontId="1"/>
  </si>
  <si>
    <t>　</t>
    <phoneticPr fontId="1"/>
  </si>
  <si>
    <t>E</t>
    <phoneticPr fontId="12"/>
  </si>
  <si>
    <t>D</t>
    <phoneticPr fontId="12"/>
  </si>
  <si>
    <t>C</t>
    <phoneticPr fontId="12"/>
  </si>
  <si>
    <t>B</t>
    <phoneticPr fontId="12"/>
  </si>
  <si>
    <t>A</t>
    <phoneticPr fontId="12"/>
  </si>
  <si>
    <t>総合評価</t>
    <rPh sb="0" eb="2">
      <t>ソウゴウ</t>
    </rPh>
    <rPh sb="2" eb="4">
      <t>ヒョウカ</t>
    </rPh>
    <phoneticPr fontId="1"/>
  </si>
  <si>
    <t>スポーツテスト個人測定結果表</t>
    <rPh sb="7" eb="9">
      <t>コジン</t>
    </rPh>
    <rPh sb="9" eb="11">
      <t>ソクテイ</t>
    </rPh>
    <rPh sb="11" eb="14">
      <t>ケッカヒョウ</t>
    </rPh>
    <phoneticPr fontId="1"/>
  </si>
  <si>
    <t>番号</t>
    <rPh sb="0" eb="2">
      <t>バンゴウ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</si>
  <si>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</si>
  <si>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</si>
  <si>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</si>
  <si>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</si>
  <si>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</si>
  <si>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握力
1回目</t>
    <rPh sb="0" eb="2">
      <t>アクリョク</t>
    </rPh>
    <rPh sb="5" eb="6">
      <t>カイ</t>
    </rPh>
    <rPh sb="6" eb="7">
      <t>メ</t>
    </rPh>
    <phoneticPr fontId="1"/>
  </si>
  <si>
    <t>握力
2回目</t>
    <rPh sb="0" eb="2">
      <t>アクリョク</t>
    </rPh>
    <rPh sb="5" eb="6">
      <t>カイ</t>
    </rPh>
    <rPh sb="6" eb="7">
      <t>メ</t>
    </rPh>
    <phoneticPr fontId="1"/>
  </si>
  <si>
    <t>右
1回目</t>
    <rPh sb="0" eb="1">
      <t>ミギ</t>
    </rPh>
    <rPh sb="4" eb="5">
      <t>カイ</t>
    </rPh>
    <rPh sb="5" eb="6">
      <t>メ</t>
    </rPh>
    <phoneticPr fontId="1"/>
  </si>
  <si>
    <t>右
2回目</t>
    <rPh sb="0" eb="1">
      <t>ミギ</t>
    </rPh>
    <rPh sb="4" eb="5">
      <t>カイ</t>
    </rPh>
    <rPh sb="5" eb="6">
      <t>メ</t>
    </rPh>
    <phoneticPr fontId="1"/>
  </si>
  <si>
    <t>左
1回目</t>
    <rPh sb="0" eb="1">
      <t>ヒダリ</t>
    </rPh>
    <rPh sb="4" eb="5">
      <t>カイ</t>
    </rPh>
    <rPh sb="5" eb="6">
      <t>メ</t>
    </rPh>
    <phoneticPr fontId="1"/>
  </si>
  <si>
    <t>左
2回目</t>
    <rPh sb="0" eb="1">
      <t>ヒダリ</t>
    </rPh>
    <rPh sb="4" eb="5">
      <t>カイ</t>
    </rPh>
    <rPh sb="5" eb="6">
      <t>メ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</si>
  <si>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</si>
  <si>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</si>
  <si>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長座体前屈</t>
    <rPh sb="0" eb="2">
      <t>チョウザ</t>
    </rPh>
    <rPh sb="2" eb="3">
      <t>タイ</t>
    </rPh>
    <rPh sb="3" eb="5">
      <t>ゼンクツ</t>
    </rPh>
    <phoneticPr fontId="1"/>
  </si>
  <si>
    <t>立ち幅跳び</t>
    <rPh sb="0" eb="1">
      <t>タ</t>
    </rPh>
    <rPh sb="2" eb="4">
      <t>ハバト</t>
    </rPh>
    <phoneticPr fontId="1"/>
  </si>
  <si>
    <t>ソフトボール投げ</t>
    <rPh sb="6" eb="7">
      <t>ナ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</si>
  <si>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</si>
  <si>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</si>
  <si>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　</t>
    <phoneticPr fontId="1"/>
  </si>
  <si>
    <t>A029</t>
  </si>
  <si>
    <t>長座最大値</t>
    <rPh sb="0" eb="2">
      <t>チョウザ</t>
    </rPh>
    <rPh sb="2" eb="5">
      <t>サイダイチ</t>
    </rPh>
    <phoneticPr fontId="1"/>
  </si>
  <si>
    <t>立ち幅最大値</t>
    <rPh sb="0" eb="1">
      <t>タ</t>
    </rPh>
    <rPh sb="2" eb="3">
      <t>ハバ</t>
    </rPh>
    <rPh sb="3" eb="6">
      <t>サイダイチ</t>
    </rPh>
    <phoneticPr fontId="1"/>
  </si>
  <si>
    <t>ソフト最大値</t>
    <rPh sb="3" eb="6">
      <t>サイダイチ</t>
    </rPh>
    <phoneticPr fontId="1"/>
  </si>
  <si>
    <t>反復横跳び</t>
    <rPh sb="0" eb="2">
      <t>ハンプク</t>
    </rPh>
    <rPh sb="2" eb="4">
      <t>ヨコト</t>
    </rPh>
    <phoneticPr fontId="1"/>
  </si>
  <si>
    <t>　</t>
    <phoneticPr fontId="12"/>
  </si>
  <si>
    <t xml:space="preserve"> </t>
    <phoneticPr fontId="12"/>
  </si>
  <si>
    <t>ふりがな</t>
    <phoneticPr fontId="1"/>
  </si>
  <si>
    <t>入力部</t>
    <rPh sb="0" eb="2">
      <t>ニュウリョク</t>
    </rPh>
    <rPh sb="2" eb="3">
      <t>ブ</t>
    </rPh>
    <phoneticPr fontId="1"/>
  </si>
  <si>
    <t>入力部</t>
    <rPh sb="0" eb="3">
      <t>ニュウリョクブ</t>
    </rPh>
    <phoneticPr fontId="1"/>
  </si>
  <si>
    <t>上体</t>
    <rPh sb="0" eb="2">
      <t>ジョウタイ</t>
    </rPh>
    <phoneticPr fontId="1"/>
  </si>
  <si>
    <t>２０ｍ</t>
    <phoneticPr fontId="1"/>
  </si>
  <si>
    <t>シャトルラン</t>
    <phoneticPr fontId="1"/>
  </si>
  <si>
    <t>起こし</t>
    <rPh sb="0" eb="1">
      <t>オ</t>
    </rPh>
    <phoneticPr fontId="1"/>
  </si>
  <si>
    <t>50ｍ走</t>
    <rPh sb="3" eb="4">
      <t>ソウ</t>
    </rPh>
    <phoneticPr fontId="1"/>
  </si>
  <si>
    <t>20ｍシャトルラン</t>
    <phoneticPr fontId="1"/>
  </si>
  <si>
    <t>立幅
とび</t>
    <phoneticPr fontId="1"/>
  </si>
  <si>
    <t xml:space="preserve"> </t>
    <phoneticPr fontId="12"/>
  </si>
  <si>
    <t>男子</t>
    <rPh sb="0" eb="2">
      <t>ダンシ</t>
    </rPh>
    <phoneticPr fontId="1"/>
  </si>
  <si>
    <t>女子</t>
    <rPh sb="0" eb="2">
      <t>ジョシ</t>
    </rPh>
    <phoneticPr fontId="1"/>
  </si>
  <si>
    <t xml:space="preserve">北区立滝野川第二       </t>
    <rPh sb="0" eb="1">
      <t>キタ</t>
    </rPh>
    <rPh sb="1" eb="3">
      <t>クリツ</t>
    </rPh>
    <rPh sb="3" eb="6">
      <t>タキノガワ</t>
    </rPh>
    <rPh sb="6" eb="8">
      <t>ダイニ</t>
    </rPh>
    <phoneticPr fontId="12"/>
  </si>
  <si>
    <t xml:space="preserve"> </t>
    <phoneticPr fontId="1"/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</si>
  <si>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</si>
  <si>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</si>
  <si>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</si>
  <si>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</si>
  <si>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</si>
  <si>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</si>
  <si>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</si>
  <si>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</si>
  <si>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</si>
  <si>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</si>
  <si>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</si>
  <si>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</si>
  <si>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</si>
  <si>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</si>
  <si>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</si>
  <si>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</si>
  <si>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</si>
  <si>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</si>
  <si>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</si>
  <si>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</si>
  <si>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</si>
  <si>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</si>
  <si>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</si>
  <si>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</si>
  <si>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</si>
  <si>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</si>
  <si>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</si>
  <si>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</si>
  <si>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　東京都小学校</t>
    <rPh sb="1" eb="4">
      <t>トウキョウト</t>
    </rPh>
    <rPh sb="4" eb="7">
      <t>ショウガッコウ</t>
    </rPh>
    <phoneticPr fontId="12"/>
  </si>
  <si>
    <t xml:space="preserve">区立       </t>
    <rPh sb="0" eb="2">
      <t>クリツ</t>
    </rPh>
    <phoneticPr fontId="12"/>
  </si>
  <si>
    <t xml:space="preserve"> 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</si>
  <si>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</si>
  <si>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</si>
  <si>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</si>
  <si>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</si>
  <si>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</si>
  <si>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</si>
  <si>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年</t>
    <rPh sb="0" eb="1">
      <t>ネン</t>
    </rPh>
    <phoneticPr fontId="1"/>
  </si>
  <si>
    <t>東京都平均</t>
    <rPh sb="0" eb="3">
      <t>トウキョウト</t>
    </rPh>
    <rPh sb="3" eb="5">
      <t>ヘイキン</t>
    </rPh>
    <phoneticPr fontId="1"/>
  </si>
  <si>
    <t>東京都平均</t>
    <rPh sb="0" eb="3">
      <t>トウキョウト</t>
    </rPh>
    <rPh sb="3" eb="5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</si>
</sst>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42"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10"/>
      <color indexed="6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theme="0"/>
      <name val="ＭＳ ゴシック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8CB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7CDF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4"/>
      </bottom>
      <diagonal/>
    </border>
  </borders>
  <cellStyleXfs count="46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6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61" applyNumberFormat="0" applyFont="0" applyAlignment="0" applyProtection="0">
      <alignment vertical="center"/>
    </xf>
    <xf numFmtId="0" fontId="25" fillId="0" borderId="6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6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4" applyNumberFormat="0" applyFill="0" applyAlignment="0" applyProtection="0">
      <alignment vertical="center"/>
    </xf>
    <xf numFmtId="0" fontId="30" fillId="0" borderId="65" applyNumberFormat="0" applyFill="0" applyAlignment="0" applyProtection="0">
      <alignment vertical="center"/>
    </xf>
    <xf numFmtId="0" fontId="31" fillId="0" borderId="6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7" applyNumberFormat="0" applyFill="0" applyAlignment="0" applyProtection="0">
      <alignment vertical="center"/>
    </xf>
    <xf numFmtId="0" fontId="33" fillId="30" borderId="6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1" borderId="6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8" fillId="0" borderId="0"/>
    <xf numFmtId="0" fontId="36" fillId="32" borderId="0" applyNumberFormat="0" applyBorder="0" applyAlignment="0" applyProtection="0">
      <alignment vertical="center"/>
    </xf>
  </cellStyleXfs>
  <cellXfs count="262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0" fontId="0" fillId="33" borderId="0" xfId="0" applyFill="1"/>
    <xf numFmtId="0" fontId="7" fillId="33" borderId="0" xfId="0" applyFont="1" applyFill="1"/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3" fillId="34" borderId="16" xfId="0" applyFont="1" applyFill="1" applyBorder="1" applyAlignment="1">
      <alignment vertical="center" shrinkToFit="1"/>
    </xf>
    <xf numFmtId="0" fontId="3" fillId="0" borderId="16" xfId="0" applyFont="1" applyBorder="1" applyAlignment="1" applyProtection="1">
      <alignment horizontal="distributed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34" borderId="31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1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34" borderId="22" xfId="0" applyFont="1" applyFill="1" applyBorder="1" applyAlignment="1">
      <alignment horizontal="center" vertical="center" shrinkToFi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 vertical="center" shrinkToFit="1"/>
    </xf>
    <xf numFmtId="0" fontId="3" fillId="0" borderId="24" xfId="0" applyFont="1" applyBorder="1" applyAlignment="1" applyProtection="1">
      <alignment horizontal="distributed" vertical="center" shrinkToFit="1"/>
      <protection locked="0"/>
    </xf>
    <xf numFmtId="0" fontId="3" fillId="34" borderId="35" xfId="0" applyFont="1" applyFill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36" xfId="0" applyFont="1" applyFill="1" applyBorder="1" applyAlignment="1">
      <alignment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37" fillId="33" borderId="39" xfId="0" applyFont="1" applyFill="1" applyBorder="1"/>
    <xf numFmtId="0" fontId="37" fillId="33" borderId="40" xfId="0" applyFont="1" applyFill="1" applyBorder="1"/>
    <xf numFmtId="0" fontId="0" fillId="36" borderId="1" xfId="0" applyFill="1" applyBorder="1" applyAlignment="1">
      <alignment wrapText="1"/>
    </xf>
    <xf numFmtId="0" fontId="0" fillId="34" borderId="1" xfId="0" applyFill="1" applyBorder="1" applyAlignment="1">
      <alignment wrapText="1"/>
    </xf>
    <xf numFmtId="0" fontId="0" fillId="37" borderId="1" xfId="0" applyFill="1" applyBorder="1" applyAlignment="1">
      <alignment wrapText="1"/>
    </xf>
    <xf numFmtId="0" fontId="0" fillId="38" borderId="1" xfId="0" applyFill="1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vertical="center" textRotation="255" shrinkToFit="1"/>
    </xf>
    <xf numFmtId="0" fontId="0" fillId="39" borderId="1" xfId="0" applyFill="1" applyBorder="1" applyAlignment="1">
      <alignment wrapText="1"/>
    </xf>
    <xf numFmtId="0" fontId="3" fillId="39" borderId="16" xfId="0" applyFont="1" applyFill="1" applyBorder="1" applyAlignment="1" applyProtection="1">
      <alignment horizontal="center" vertical="center" shrinkToFit="1"/>
    </xf>
    <xf numFmtId="0" fontId="3" fillId="37" borderId="16" xfId="0" applyFont="1" applyFill="1" applyBorder="1" applyAlignment="1" applyProtection="1">
      <alignment horizontal="center" vertical="center" shrinkToFit="1"/>
    </xf>
    <xf numFmtId="0" fontId="0" fillId="40" borderId="1" xfId="0" applyFill="1" applyBorder="1" applyAlignment="1">
      <alignment wrapText="1"/>
    </xf>
    <xf numFmtId="0" fontId="3" fillId="40" borderId="35" xfId="0" applyFont="1" applyFill="1" applyBorder="1" applyAlignment="1" applyProtection="1">
      <alignment horizontal="center" vertical="center" shrinkToFit="1"/>
    </xf>
    <xf numFmtId="0" fontId="3" fillId="38" borderId="36" xfId="0" applyFont="1" applyFill="1" applyBorder="1" applyAlignment="1" applyProtection="1">
      <alignment horizontal="center" vertical="center" shrinkToFit="1"/>
    </xf>
    <xf numFmtId="0" fontId="3" fillId="38" borderId="1" xfId="0" applyFont="1" applyFill="1" applyBorder="1" applyAlignment="1" applyProtection="1">
      <alignment horizontal="center" vertical="center" shrinkToFit="1"/>
    </xf>
    <xf numFmtId="0" fontId="3" fillId="39" borderId="1" xfId="0" applyFont="1" applyFill="1" applyBorder="1" applyAlignment="1" applyProtection="1">
      <alignment horizontal="center" vertical="center" shrinkToFit="1"/>
    </xf>
    <xf numFmtId="0" fontId="3" fillId="38" borderId="16" xfId="0" applyFont="1" applyFill="1" applyBorder="1" applyAlignment="1" applyProtection="1">
      <alignment horizontal="center" vertical="center" shrinkToFit="1"/>
    </xf>
    <xf numFmtId="0" fontId="3" fillId="38" borderId="24" xfId="0" applyFont="1" applyFill="1" applyBorder="1" applyAlignment="1" applyProtection="1">
      <alignment horizontal="center" vertical="center" shrinkToFit="1"/>
    </xf>
    <xf numFmtId="0" fontId="3" fillId="39" borderId="24" xfId="0" applyFont="1" applyFill="1" applyBorder="1" applyAlignment="1" applyProtection="1">
      <alignment horizontal="center" vertical="center" shrinkToFit="1"/>
    </xf>
    <xf numFmtId="0" fontId="3" fillId="37" borderId="24" xfId="0" applyFont="1" applyFill="1" applyBorder="1" applyAlignment="1" applyProtection="1">
      <alignment horizontal="center" vertical="center" shrinkToFit="1"/>
    </xf>
    <xf numFmtId="0" fontId="3" fillId="40" borderId="26" xfId="0" applyFont="1" applyFill="1" applyBorder="1" applyAlignment="1" applyProtection="1">
      <alignment horizontal="center" vertical="center" shrinkToFit="1"/>
    </xf>
    <xf numFmtId="0" fontId="0" fillId="33" borderId="0" xfId="0" applyFill="1" applyAlignment="1">
      <alignment shrinkToFit="1"/>
    </xf>
    <xf numFmtId="0" fontId="0" fillId="33" borderId="0" xfId="0" applyFill="1" applyAlignment="1"/>
    <xf numFmtId="0" fontId="0" fillId="0" borderId="0" xfId="0" applyAlignment="1"/>
    <xf numFmtId="0" fontId="0" fillId="33" borderId="41" xfId="0" applyFill="1" applyBorder="1" applyAlignment="1">
      <alignment vertical="center" shrinkToFit="1"/>
    </xf>
    <xf numFmtId="0" fontId="0" fillId="0" borderId="1" xfId="0" applyFill="1" applyBorder="1" applyAlignment="1">
      <alignment shrinkToFit="1"/>
    </xf>
    <xf numFmtId="49" fontId="0" fillId="0" borderId="14" xfId="0" applyNumberFormat="1" applyFill="1" applyBorder="1" applyAlignment="1">
      <alignment shrinkToFit="1"/>
    </xf>
    <xf numFmtId="0" fontId="0" fillId="33" borderId="1" xfId="0" applyFill="1" applyBorder="1" applyAlignment="1">
      <alignment shrinkToFit="1"/>
    </xf>
    <xf numFmtId="49" fontId="0" fillId="0" borderId="1" xfId="0" applyNumberFormat="1" applyBorder="1" applyAlignment="1">
      <alignment shrinkToFit="1"/>
    </xf>
    <xf numFmtId="0" fontId="9" fillId="36" borderId="1" xfId="0" applyFont="1" applyFill="1" applyBorder="1" applyProtection="1">
      <protection locked="0"/>
    </xf>
    <xf numFmtId="0" fontId="9" fillId="34" borderId="1" xfId="0" applyFont="1" applyFill="1" applyBorder="1" applyProtection="1">
      <protection locked="0"/>
    </xf>
    <xf numFmtId="0" fontId="9" fillId="38" borderId="1" xfId="0" applyFont="1" applyFill="1" applyBorder="1" applyProtection="1">
      <protection locked="0"/>
    </xf>
    <xf numFmtId="0" fontId="9" fillId="39" borderId="1" xfId="0" applyFont="1" applyFill="1" applyBorder="1" applyProtection="1">
      <protection locked="0"/>
    </xf>
    <xf numFmtId="0" fontId="9" fillId="37" borderId="1" xfId="0" applyFont="1" applyFill="1" applyBorder="1" applyProtection="1">
      <protection locked="0"/>
    </xf>
    <xf numFmtId="0" fontId="9" fillId="40" borderId="1" xfId="0" applyFont="1" applyFill="1" applyBorder="1" applyProtection="1">
      <protection locked="0"/>
    </xf>
    <xf numFmtId="176" fontId="9" fillId="36" borderId="1" xfId="0" applyNumberFormat="1" applyFont="1" applyFill="1" applyBorder="1" applyProtection="1">
      <protection locked="0"/>
    </xf>
    <xf numFmtId="176" fontId="9" fillId="34" borderId="1" xfId="0" applyNumberFormat="1" applyFont="1" applyFill="1" applyBorder="1" applyProtection="1">
      <protection locked="0"/>
    </xf>
    <xf numFmtId="0" fontId="0" fillId="41" borderId="1" xfId="0" applyFill="1" applyBorder="1" applyAlignment="1">
      <alignment horizontal="center" vertical="center" wrapText="1"/>
    </xf>
    <xf numFmtId="0" fontId="0" fillId="41" borderId="1" xfId="0" applyFill="1" applyBorder="1" applyAlignment="1">
      <alignment wrapText="1"/>
    </xf>
    <xf numFmtId="0" fontId="9" fillId="41" borderId="1" xfId="0" applyFont="1" applyFill="1" applyBorder="1" applyProtection="1">
      <protection locked="0"/>
    </xf>
    <xf numFmtId="0" fontId="0" fillId="42" borderId="14" xfId="0" applyFill="1" applyBorder="1" applyAlignment="1">
      <alignment horizontal="center"/>
    </xf>
    <xf numFmtId="0" fontId="0" fillId="42" borderId="1" xfId="0" applyFill="1" applyBorder="1" applyAlignment="1">
      <alignment wrapText="1"/>
    </xf>
    <xf numFmtId="0" fontId="9" fillId="42" borderId="1" xfId="0" applyFont="1" applyFill="1" applyBorder="1" applyProtection="1">
      <protection locked="0"/>
    </xf>
    <xf numFmtId="0" fontId="0" fillId="34" borderId="14" xfId="0" applyFill="1" applyBorder="1" applyAlignment="1">
      <alignment horizontal="center"/>
    </xf>
    <xf numFmtId="0" fontId="3" fillId="42" borderId="16" xfId="0" applyFont="1" applyFill="1" applyBorder="1" applyAlignment="1" applyProtection="1">
      <alignment horizontal="center" vertical="center" shrinkToFit="1"/>
    </xf>
    <xf numFmtId="176" fontId="3" fillId="34" borderId="16" xfId="0" applyNumberFormat="1" applyFont="1" applyFill="1" applyBorder="1" applyAlignment="1" applyProtection="1">
      <alignment horizontal="center" vertical="center" shrinkToFit="1"/>
    </xf>
    <xf numFmtId="0" fontId="3" fillId="41" borderId="16" xfId="0" applyFont="1" applyFill="1" applyBorder="1" applyAlignment="1" applyProtection="1">
      <alignment horizontal="center" vertical="center" shrinkToFit="1"/>
    </xf>
    <xf numFmtId="0" fontId="9" fillId="36" borderId="14" xfId="0" applyFont="1" applyFill="1" applyBorder="1" applyProtection="1">
      <protection locked="0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7" fillId="43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43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horizontal="center" vertical="center" shrinkToFit="1"/>
    </xf>
    <xf numFmtId="0" fontId="3" fillId="34" borderId="41" xfId="0" applyFont="1" applyFill="1" applyBorder="1" applyAlignment="1" applyProtection="1">
      <alignment horizontal="center" vertical="center" shrinkToFit="1"/>
    </xf>
    <xf numFmtId="0" fontId="3" fillId="34" borderId="43" xfId="0" applyFont="1" applyFill="1" applyBorder="1" applyAlignment="1" applyProtection="1">
      <alignment horizontal="center" vertical="center" shrinkToFit="1"/>
    </xf>
    <xf numFmtId="0" fontId="3" fillId="34" borderId="44" xfId="0" applyFont="1" applyFill="1" applyBorder="1" applyAlignment="1" applyProtection="1">
      <alignment horizontal="center" vertical="center" shrinkToFit="1"/>
    </xf>
    <xf numFmtId="0" fontId="3" fillId="41" borderId="1" xfId="0" applyFont="1" applyFill="1" applyBorder="1" applyAlignment="1" applyProtection="1">
      <alignment horizontal="center" vertical="center" shrinkToFit="1"/>
    </xf>
    <xf numFmtId="0" fontId="3" fillId="42" borderId="1" xfId="0" applyFont="1" applyFill="1" applyBorder="1" applyAlignment="1" applyProtection="1">
      <alignment horizontal="center" vertical="center" shrinkToFit="1"/>
    </xf>
    <xf numFmtId="176" fontId="3" fillId="34" borderId="1" xfId="0" applyNumberFormat="1" applyFont="1" applyFill="1" applyBorder="1" applyAlignment="1" applyProtection="1">
      <alignment horizontal="center" vertical="center" shrinkToFit="1"/>
    </xf>
    <xf numFmtId="0" fontId="3" fillId="37" borderId="1" xfId="0" applyFont="1" applyFill="1" applyBorder="1" applyAlignment="1" applyProtection="1">
      <alignment horizontal="center" vertical="center" shrinkToFit="1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 wrapText="1"/>
    </xf>
    <xf numFmtId="0" fontId="14" fillId="35" borderId="26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/>
    </xf>
    <xf numFmtId="0" fontId="3" fillId="41" borderId="29" xfId="0" applyFont="1" applyFill="1" applyBorder="1" applyAlignment="1" applyProtection="1">
      <alignment horizontal="center" vertical="center" shrinkToFit="1"/>
    </xf>
    <xf numFmtId="0" fontId="3" fillId="38" borderId="29" xfId="0" applyFont="1" applyFill="1" applyBorder="1" applyAlignment="1" applyProtection="1">
      <alignment horizontal="center" vertical="center" shrinkToFit="1"/>
    </xf>
    <xf numFmtId="0" fontId="3" fillId="39" borderId="29" xfId="0" applyFont="1" applyFill="1" applyBorder="1" applyAlignment="1" applyProtection="1">
      <alignment horizontal="center" vertical="center" shrinkToFit="1"/>
    </xf>
    <xf numFmtId="0" fontId="3" fillId="42" borderId="29" xfId="0" applyFont="1" applyFill="1" applyBorder="1" applyAlignment="1" applyProtection="1">
      <alignment horizontal="center" vertical="center" shrinkToFit="1"/>
    </xf>
    <xf numFmtId="176" fontId="3" fillId="34" borderId="29" xfId="0" applyNumberFormat="1" applyFont="1" applyFill="1" applyBorder="1" applyAlignment="1" applyProtection="1">
      <alignment horizontal="center" vertical="center" shrinkToFit="1"/>
    </xf>
    <xf numFmtId="0" fontId="3" fillId="37" borderId="29" xfId="0" applyFont="1" applyFill="1" applyBorder="1" applyAlignment="1" applyProtection="1">
      <alignment horizontal="center" vertical="center" shrinkToFit="1"/>
    </xf>
    <xf numFmtId="0" fontId="3" fillId="40" borderId="30" xfId="0" applyFont="1" applyFill="1" applyBorder="1" applyAlignment="1" applyProtection="1">
      <alignment horizontal="center" vertical="center" shrinkToFit="1"/>
    </xf>
    <xf numFmtId="0" fontId="3" fillId="40" borderId="22" xfId="0" applyFont="1" applyFill="1" applyBorder="1" applyAlignment="1" applyProtection="1">
      <alignment horizontal="center" vertical="center" shrinkToFit="1"/>
    </xf>
    <xf numFmtId="0" fontId="3" fillId="41" borderId="24" xfId="0" applyFont="1" applyFill="1" applyBorder="1" applyAlignment="1" applyProtection="1">
      <alignment horizontal="center" vertical="center" shrinkToFit="1"/>
    </xf>
    <xf numFmtId="0" fontId="3" fillId="42" borderId="24" xfId="0" applyFont="1" applyFill="1" applyBorder="1" applyAlignment="1" applyProtection="1">
      <alignment horizontal="center" vertical="center" shrinkToFit="1"/>
    </xf>
    <xf numFmtId="176" fontId="3" fillId="34" borderId="24" xfId="0" applyNumberFormat="1" applyFont="1" applyFill="1" applyBorder="1" applyAlignment="1" applyProtection="1">
      <alignment horizontal="center" vertical="center" shrinkToFit="1"/>
    </xf>
    <xf numFmtId="0" fontId="3" fillId="41" borderId="36" xfId="0" applyFont="1" applyFill="1" applyBorder="1" applyAlignment="1" applyProtection="1">
      <alignment horizontal="center" vertical="center" shrinkToFit="1"/>
    </xf>
    <xf numFmtId="0" fontId="3" fillId="39" borderId="36" xfId="0" applyFont="1" applyFill="1" applyBorder="1" applyAlignment="1" applyProtection="1">
      <alignment horizontal="center" vertical="center" shrinkToFit="1"/>
    </xf>
    <xf numFmtId="0" fontId="3" fillId="42" borderId="36" xfId="0" applyFont="1" applyFill="1" applyBorder="1" applyAlignment="1" applyProtection="1">
      <alignment horizontal="center" vertical="center" shrinkToFit="1"/>
    </xf>
    <xf numFmtId="176" fontId="3" fillId="34" borderId="36" xfId="0" applyNumberFormat="1" applyFont="1" applyFill="1" applyBorder="1" applyAlignment="1" applyProtection="1">
      <alignment horizontal="center" vertical="center" shrinkToFit="1"/>
    </xf>
    <xf numFmtId="0" fontId="3" fillId="37" borderId="36" xfId="0" applyFont="1" applyFill="1" applyBorder="1" applyAlignment="1" applyProtection="1">
      <alignment horizontal="center" vertical="center" shrinkToFit="1"/>
    </xf>
    <xf numFmtId="0" fontId="3" fillId="40" borderId="45" xfId="0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 applyProtection="1">
      <alignment shrinkToFit="1"/>
      <protection locked="0"/>
    </xf>
    <xf numFmtId="0" fontId="3" fillId="36" borderId="46" xfId="0" applyNumberFormat="1" applyFont="1" applyFill="1" applyBorder="1" applyAlignment="1" applyProtection="1">
      <alignment horizontal="center" vertical="center" shrinkToFit="1"/>
    </xf>
    <xf numFmtId="0" fontId="3" fillId="36" borderId="21" xfId="0" applyNumberFormat="1" applyFont="1" applyFill="1" applyBorder="1" applyAlignment="1" applyProtection="1">
      <alignment horizontal="center" vertical="center" shrinkToFit="1"/>
    </xf>
    <xf numFmtId="0" fontId="3" fillId="36" borderId="23" xfId="0" applyNumberFormat="1" applyFont="1" applyFill="1" applyBorder="1" applyAlignment="1" applyProtection="1">
      <alignment horizontal="center" vertical="center" shrinkToFit="1"/>
    </xf>
    <xf numFmtId="0" fontId="3" fillId="36" borderId="47" xfId="0" applyNumberFormat="1" applyFont="1" applyFill="1" applyBorder="1" applyAlignment="1" applyProtection="1">
      <alignment horizontal="center" vertical="center" shrinkToFit="1"/>
    </xf>
    <xf numFmtId="0" fontId="3" fillId="36" borderId="48" xfId="0" applyNumberFormat="1" applyFont="1" applyFill="1" applyBorder="1" applyAlignment="1" applyProtection="1">
      <alignment horizontal="center" vertical="center" shrinkToFit="1"/>
    </xf>
    <xf numFmtId="0" fontId="0" fillId="0" borderId="49" xfId="0" applyBorder="1"/>
    <xf numFmtId="0" fontId="0" fillId="33" borderId="1" xfId="0" applyNumberFormat="1" applyFill="1" applyBorder="1" applyAlignment="1" applyProtection="1">
      <alignment vertical="center" shrinkToFit="1"/>
      <protection locked="0"/>
    </xf>
    <xf numFmtId="0" fontId="0" fillId="36" borderId="14" xfId="0" applyFill="1" applyBorder="1" applyAlignment="1">
      <alignment wrapText="1"/>
    </xf>
    <xf numFmtId="0" fontId="0" fillId="0" borderId="1" xfId="0" applyNumberFormat="1" applyBorder="1" applyAlignment="1" applyProtection="1">
      <alignment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horizontal="right" vertical="center" shrinkToFit="1"/>
    </xf>
    <xf numFmtId="0" fontId="9" fillId="0" borderId="0" xfId="0" applyFont="1" applyAlignment="1" applyProtection="1">
      <alignment horizontal="left"/>
    </xf>
    <xf numFmtId="49" fontId="19" fillId="0" borderId="1" xfId="44" applyNumberFormat="1" applyFont="1" applyBorder="1" applyAlignment="1" applyProtection="1">
      <alignment vertical="center" shrinkToFit="1"/>
      <protection locked="0"/>
    </xf>
    <xf numFmtId="49" fontId="19" fillId="0" borderId="1" xfId="44" applyNumberFormat="1" applyFont="1" applyBorder="1" applyAlignment="1" applyProtection="1">
      <alignment vertical="center"/>
      <protection locked="0"/>
    </xf>
    <xf numFmtId="0" fontId="37" fillId="0" borderId="0" xfId="0" applyFont="1" applyProtection="1"/>
    <xf numFmtId="0" fontId="37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8" fillId="0" borderId="0" xfId="0" applyFont="1" applyProtection="1"/>
    <xf numFmtId="0" fontId="38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 vertical="center"/>
    </xf>
    <xf numFmtId="0" fontId="37" fillId="0" borderId="0" xfId="0" applyFont="1" applyProtection="1">
      <protection locked="0"/>
    </xf>
    <xf numFmtId="0" fontId="39" fillId="0" borderId="0" xfId="0" applyFont="1" applyAlignment="1" applyProtection="1">
      <alignment vertical="top"/>
    </xf>
    <xf numFmtId="0" fontId="3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36" borderId="0" xfId="0" applyFill="1"/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0" fillId="36" borderId="40" xfId="0" applyFill="1" applyBorder="1"/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177" fontId="4" fillId="0" borderId="16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0" fillId="44" borderId="50" xfId="0" applyFill="1" applyBorder="1" applyAlignment="1">
      <alignment horizontal="center"/>
    </xf>
    <xf numFmtId="0" fontId="0" fillId="33" borderId="1" xfId="0" applyFill="1" applyBorder="1" applyAlignment="1">
      <alignment horizontal="center" vertical="center" shrinkToFit="1"/>
    </xf>
    <xf numFmtId="0" fontId="0" fillId="39" borderId="41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40" borderId="1" xfId="0" applyFill="1" applyBorder="1" applyAlignment="1">
      <alignment horizontal="center" vertical="center" shrinkToFit="1"/>
    </xf>
    <xf numFmtId="0" fontId="6" fillId="35" borderId="1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 shrinkToFit="1"/>
    </xf>
    <xf numFmtId="0" fontId="6" fillId="35" borderId="39" xfId="0" applyFont="1" applyFill="1" applyBorder="1" applyAlignment="1">
      <alignment horizontal="center" vertical="center" shrinkToFit="1"/>
    </xf>
    <xf numFmtId="0" fontId="6" fillId="35" borderId="45" xfId="0" applyFont="1" applyFill="1" applyBorder="1" applyAlignment="1">
      <alignment horizontal="center" vertical="center" shrinkToFit="1"/>
    </xf>
    <xf numFmtId="0" fontId="6" fillId="35" borderId="51" xfId="0" applyFont="1" applyFill="1" applyBorder="1" applyAlignment="1">
      <alignment horizontal="center" vertical="center" shrinkToFi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/>
    </xf>
    <xf numFmtId="0" fontId="9" fillId="35" borderId="54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7" fillId="0" borderId="55" xfId="0" applyFont="1" applyBorder="1" applyAlignment="1" applyProtection="1">
      <alignment horizontal="center" vertical="center" justifyLastLine="1"/>
    </xf>
    <xf numFmtId="0" fontId="7" fillId="0" borderId="56" xfId="0" applyFont="1" applyBorder="1" applyAlignment="1" applyProtection="1">
      <alignment horizontal="center" vertical="center" justifyLastLine="1"/>
    </xf>
    <xf numFmtId="0" fontId="7" fillId="0" borderId="25" xfId="0" applyFont="1" applyBorder="1" applyAlignment="1" applyProtection="1">
      <alignment horizontal="center" vertical="center" justifyLastLine="1"/>
    </xf>
    <xf numFmtId="0" fontId="0" fillId="0" borderId="69" xfId="0" applyBorder="1" applyAlignment="1">
      <alignment horizontal="center" vertical="center"/>
    </xf>
    <xf numFmtId="0" fontId="8" fillId="0" borderId="0" xfId="0" applyFont="1" applyAlignment="1" applyProtection="1">
      <alignment horizont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40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right" vertical="top"/>
    </xf>
    <xf numFmtId="0" fontId="39" fillId="0" borderId="0" xfId="0" applyFont="1" applyAlignment="1" applyProtection="1">
      <alignment horizontal="center" vertical="top"/>
    </xf>
    <xf numFmtId="0" fontId="0" fillId="33" borderId="1" xfId="0" applyFill="1" applyBorder="1" applyAlignment="1">
      <alignment horizontal="center" vertical="center" wrapTex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標準 5" xfId="44" xr:uid="{00000000-0005-0000-0000-00002C000000}"/>
    <cellStyle name="良い 2" xfId="45" xr:uid="{00000000-0005-0000-0000-00002D000000}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3478260869561"/>
          <c:y val="0.1764708863924741"/>
          <c:w val="0.38434782608695611"/>
          <c:h val="0.76470717436738722"/>
        </c:manualLayout>
      </c:layout>
      <c:radarChart>
        <c:radarStyle val="marker"/>
        <c:varyColors val="0"/>
        <c:ser>
          <c:idx val="1"/>
          <c:order val="0"/>
          <c:tx>
            <c:strRef>
              <c:f>個人票!$A$8</c:f>
              <c:strCache>
                <c:ptCount val="1"/>
                <c:pt idx="0">
                  <c:v>測定値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個人票!$B$7:$I$7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長座体
前屈</c:v>
                </c:pt>
                <c:pt idx="3">
                  <c:v>反復
横とび</c:v>
                </c:pt>
                <c:pt idx="4">
                  <c:v>20ｍシャトルラン</c:v>
                </c:pt>
                <c:pt idx="5">
                  <c:v>50ｍ走</c:v>
                </c:pt>
                <c:pt idx="6">
                  <c:v>立幅
とび</c:v>
                </c:pt>
                <c:pt idx="7">
                  <c:v>ソフトボール投げ</c:v>
                </c:pt>
              </c:strCache>
            </c:strRef>
          </c:cat>
          <c:val>
            <c:numRef>
              <c:f>個人票!$B$8:$I$8</c:f>
              <c:numCache>
                <c:formatCode>General</c:formatCode>
                <c:ptCount val="8"/>
                <c:pt idx="0" formatCode="0_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A-4A24-A8BC-91B43BC25347}"/>
            </c:ext>
          </c:extLst>
        </c:ser>
        <c:ser>
          <c:idx val="0"/>
          <c:order val="1"/>
          <c:tx>
            <c:strRef>
              <c:f>個人票!$A$9</c:f>
              <c:strCache>
                <c:ptCount val="1"/>
                <c:pt idx="0">
                  <c:v>得点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個人票!$B$7:$I$7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長座体
前屈</c:v>
                </c:pt>
                <c:pt idx="3">
                  <c:v>反復
横とび</c:v>
                </c:pt>
                <c:pt idx="4">
                  <c:v>20ｍシャトルラン</c:v>
                </c:pt>
                <c:pt idx="5">
                  <c:v>50ｍ走</c:v>
                </c:pt>
                <c:pt idx="6">
                  <c:v>立幅
とび</c:v>
                </c:pt>
                <c:pt idx="7">
                  <c:v>ソフトボール投げ</c:v>
                </c:pt>
              </c:strCache>
            </c:strRef>
          </c:cat>
          <c:val>
            <c:numRef>
              <c:f>個人票!$B$9:$I$9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A-4A24-A8BC-91B43BC2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00896"/>
        <c:axId val="155611136"/>
      </c:radarChart>
      <c:catAx>
        <c:axId val="166000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11136"/>
        <c:crosses val="autoZero"/>
        <c:auto val="0"/>
        <c:lblAlgn val="ctr"/>
        <c:lblOffset val="100"/>
        <c:noMultiLvlLbl val="0"/>
      </c:catAx>
      <c:valAx>
        <c:axId val="15561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600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22" l="0.70000000000000018" r="0.70000000000000018" t="0.75000000000000022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34782608695621"/>
          <c:y val="0.17647088639247421"/>
          <c:w val="0.38434782608695622"/>
          <c:h val="0.76470717436738744"/>
        </c:manualLayout>
      </c:layout>
      <c:radarChart>
        <c:radarStyle val="marker"/>
        <c:varyColors val="0"/>
        <c:ser>
          <c:idx val="1"/>
          <c:order val="0"/>
          <c:tx>
            <c:strRef>
              <c:f>個人票!$A$34</c:f>
              <c:strCache>
                <c:ptCount val="1"/>
                <c:pt idx="0">
                  <c:v>測定値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個人票!$B$33:$I$33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長座体
前屈</c:v>
                </c:pt>
                <c:pt idx="3">
                  <c:v>反復
横とび</c:v>
                </c:pt>
                <c:pt idx="4">
                  <c:v>20ｍシャトルラン</c:v>
                </c:pt>
                <c:pt idx="5">
                  <c:v>50ｍ走</c:v>
                </c:pt>
                <c:pt idx="6">
                  <c:v>立幅
とび</c:v>
                </c:pt>
                <c:pt idx="7">
                  <c:v>ソフトボール投げ</c:v>
                </c:pt>
              </c:strCache>
            </c:strRef>
          </c:cat>
          <c:val>
            <c:numRef>
              <c:f>個人票!$B$34:$I$34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4-4668-B978-4A2AE778F632}"/>
            </c:ext>
          </c:extLst>
        </c:ser>
        <c:ser>
          <c:idx val="0"/>
          <c:order val="1"/>
          <c:tx>
            <c:strRef>
              <c:f>個人票!$A$35</c:f>
              <c:strCache>
                <c:ptCount val="1"/>
                <c:pt idx="0">
                  <c:v>得点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個人票!$B$33:$I$33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長座体
前屈</c:v>
                </c:pt>
                <c:pt idx="3">
                  <c:v>反復
横とび</c:v>
                </c:pt>
                <c:pt idx="4">
                  <c:v>20ｍシャトルラン</c:v>
                </c:pt>
                <c:pt idx="5">
                  <c:v>50ｍ走</c:v>
                </c:pt>
                <c:pt idx="6">
                  <c:v>立幅
とび</c:v>
                </c:pt>
                <c:pt idx="7">
                  <c:v>ソフトボール投げ</c:v>
                </c:pt>
              </c:strCache>
            </c:strRef>
          </c:cat>
          <c:val>
            <c:numRef>
              <c:f>個人票!$B$35:$I$35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4-4668-B978-4A2AE778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36096"/>
        <c:axId val="155637632"/>
      </c:radarChart>
      <c:catAx>
        <c:axId val="155636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37632"/>
        <c:crosses val="autoZero"/>
        <c:auto val="0"/>
        <c:lblAlgn val="ctr"/>
        <c:lblOffset val="100"/>
        <c:noMultiLvlLbl val="0"/>
      </c:catAx>
      <c:valAx>
        <c:axId val="15563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3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44" l="0.7000000000000004" r="0.7000000000000004" t="0.75000000000000044" header="0.51200000000000001" footer="0.51200000000000001"/>
    <c:pageSetup/>
  </c:printSettings>
</c:chartSpace>
</file>

<file path=xl/ctrlProps/ctrlProp1.xml><?xml version="1.0" encoding="utf-8"?>
<formControlPr xmlns="http://schemas.microsoft.com/office/spreadsheetml/2009/9/main" objectType="Spin" dx="16" fmlaLink="$AL$4" max="45" min="1" page="10"/>
</file>

<file path=xl/ctrlProps/ctrlProp2.xml><?xml version="1.0" encoding="utf-8"?>
<formControlPr xmlns="http://schemas.microsoft.com/office/spreadsheetml/2009/9/main" objectType="Spin" dx="16" fmlaLink="$AJ$4" max="45" min="1" page="10"/>
</file>

<file path=xl/ctrlProps/ctrlProp3.xml><?xml version="1.0" encoding="utf-8"?>
<formControlPr xmlns="http://schemas.microsoft.com/office/spreadsheetml/2009/9/main" objectType="Spin" dx="16" fmlaLink="$AJ$4" max="45" min="1" page="10"/>
</file>

<file path=xl/ctrlProps/ctrlProp4.xml><?xml version="1.0" encoding="utf-8"?>
<formControlPr xmlns="http://schemas.microsoft.com/office/spreadsheetml/2009/9/main" objectType="Spin" dx="16" fmlaLink="$AJ$4" max="45" min="1" page="1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47625</xdr:colOff>
          <xdr:row>7</xdr:row>
          <xdr:rowOff>28575</xdr:rowOff>
        </xdr:from>
        <xdr:to>
          <xdr:col>37</xdr:col>
          <xdr:colOff>533400</xdr:colOff>
          <xdr:row>12</xdr:row>
          <xdr:rowOff>133350</xdr:rowOff>
        </xdr:to>
        <xdr:sp macro="" textlink="">
          <xdr:nvSpPr>
            <xdr:cNvPr id="344065" name="Spinner 1" hidden="1">
              <a:extLst>
                <a:ext uri="{63B3BB69-23CF-44E3-9099-C40C66FF867C}">
                  <a14:compatExt spid="_x0000_s344065"/>
                </a:ext>
                <a:ext uri="{FF2B5EF4-FFF2-40B4-BE49-F238E27FC236}">
                  <a16:creationId xmlns:a16="http://schemas.microsoft.com/office/drawing/2014/main" id="{00000000-0008-0000-0000-0000014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76200</xdr:rowOff>
    </xdr:from>
    <xdr:to>
      <xdr:col>7</xdr:col>
      <xdr:colOff>381000</xdr:colOff>
      <xdr:row>24</xdr:row>
      <xdr:rowOff>85725</xdr:rowOff>
    </xdr:to>
    <xdr:graphicFrame macro="">
      <xdr:nvGraphicFramePr>
        <xdr:cNvPr id="1591" name="グラフ 4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352425</xdr:colOff>
      <xdr:row>50</xdr:row>
      <xdr:rowOff>9525</xdr:rowOff>
    </xdr:to>
    <xdr:graphicFrame macro="">
      <xdr:nvGraphicFramePr>
        <xdr:cNvPr id="1592" name="グラフ 4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3</xdr:row>
          <xdr:rowOff>85725</xdr:rowOff>
        </xdr:from>
        <xdr:to>
          <xdr:col>11</xdr:col>
          <xdr:colOff>238125</xdr:colOff>
          <xdr:row>6</xdr:row>
          <xdr:rowOff>66675</xdr:rowOff>
        </xdr:to>
        <xdr:sp macro="" textlink="">
          <xdr:nvSpPr>
            <xdr:cNvPr id="1064" name="SpinButton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47625</xdr:colOff>
          <xdr:row>5</xdr:row>
          <xdr:rowOff>28575</xdr:rowOff>
        </xdr:from>
        <xdr:to>
          <xdr:col>35</xdr:col>
          <xdr:colOff>533400</xdr:colOff>
          <xdr:row>8</xdr:row>
          <xdr:rowOff>133350</xdr:rowOff>
        </xdr:to>
        <xdr:sp macro="" textlink="">
          <xdr:nvSpPr>
            <xdr:cNvPr id="167938" name="Spinner 2" hidden="1">
              <a:extLst>
                <a:ext uri="{63B3BB69-23CF-44E3-9099-C40C66FF867C}">
                  <a14:compatExt spid="_x0000_s167938"/>
                </a:ext>
                <a:ext uri="{FF2B5EF4-FFF2-40B4-BE49-F238E27FC236}">
                  <a16:creationId xmlns:a16="http://schemas.microsoft.com/office/drawing/2014/main" id="{00000000-0008-0000-0300-000002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47625</xdr:colOff>
          <xdr:row>5</xdr:row>
          <xdr:rowOff>28575</xdr:rowOff>
        </xdr:from>
        <xdr:to>
          <xdr:col>35</xdr:col>
          <xdr:colOff>533400</xdr:colOff>
          <xdr:row>8</xdr:row>
          <xdr:rowOff>133350</xdr:rowOff>
        </xdr:to>
        <xdr:sp macro="" textlink="">
          <xdr:nvSpPr>
            <xdr:cNvPr id="531457" name="Spinner 1" hidden="1">
              <a:extLst>
                <a:ext uri="{63B3BB69-23CF-44E3-9099-C40C66FF867C}">
                  <a14:compatExt spid="_x0000_s531457"/>
                </a:ext>
                <a:ext uri="{FF2B5EF4-FFF2-40B4-BE49-F238E27FC236}">
                  <a16:creationId xmlns:a16="http://schemas.microsoft.com/office/drawing/2014/main" id="{00000000-0008-0000-0400-0000011C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47625</xdr:colOff>
          <xdr:row>5</xdr:row>
          <xdr:rowOff>28575</xdr:rowOff>
        </xdr:from>
        <xdr:to>
          <xdr:col>35</xdr:col>
          <xdr:colOff>533400</xdr:colOff>
          <xdr:row>8</xdr:row>
          <xdr:rowOff>133350</xdr:rowOff>
        </xdr:to>
        <xdr:sp macro="" textlink="">
          <xdr:nvSpPr>
            <xdr:cNvPr id="569345" name="Spinner 1" hidden="1">
              <a:extLst>
                <a:ext uri="{63B3BB69-23CF-44E3-9099-C40C66FF867C}">
                  <a14:compatExt spid="_x0000_s569345"/>
                </a:ext>
                <a:ext uri="{FF2B5EF4-FFF2-40B4-BE49-F238E27FC236}">
                  <a16:creationId xmlns:a16="http://schemas.microsoft.com/office/drawing/2014/main" id="{00000000-0008-0000-0500-000001B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Q52"/>
  <sheetViews>
    <sheetView workbookViewId="0">
      <selection activeCell="U2" sqref="U2:AI3"/>
    </sheetView>
  </sheetViews>
  <sheetFormatPr defaultRowHeight="12"/>
  <cols>
    <col min="1" max="1" width="3" customWidth="1"/>
    <col min="2" max="2" width="3.7109375" customWidth="1"/>
    <col min="3" max="18" width="3" customWidth="1"/>
    <col min="19" max="19" width="3.7109375" customWidth="1"/>
    <col min="20" max="20" width="2.7109375" customWidth="1"/>
    <col min="21" max="21" width="3" customWidth="1"/>
    <col min="22" max="22" width="3.28515625" customWidth="1"/>
    <col min="23" max="23" width="2.5703125" customWidth="1"/>
    <col min="24" max="24" width="2.42578125" customWidth="1"/>
    <col min="25" max="25" width="2.5703125" customWidth="1"/>
    <col min="26" max="26" width="2.85546875" customWidth="1"/>
    <col min="27" max="28" width="3" customWidth="1"/>
    <col min="29" max="30" width="1.42578125" customWidth="1"/>
    <col min="31" max="31" width="2" customWidth="1"/>
    <col min="32" max="32" width="2.85546875" customWidth="1"/>
    <col min="33" max="33" width="3.42578125" customWidth="1"/>
    <col min="34" max="34" width="3.140625" customWidth="1"/>
    <col min="35" max="35" width="4.42578125" customWidth="1"/>
    <col min="36" max="36" width="2.85546875" customWidth="1"/>
    <col min="37" max="38" width="9.140625" style="111"/>
    <col min="39" max="39" width="1.140625" style="111" customWidth="1"/>
    <col min="40" max="40" width="26.140625" style="111" customWidth="1"/>
    <col min="41" max="42" width="9.140625" style="111"/>
  </cols>
  <sheetData>
    <row r="1" spans="1:43" ht="17.25" customHeight="1"/>
    <row r="2" spans="1:43" ht="13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212" t="s">
        <v>165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101"/>
    </row>
    <row r="3" spans="1:43" ht="4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101"/>
    </row>
    <row r="4" spans="1:43" s="111" customFormat="1" ht="17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L4" s="112">
        <v>1</v>
      </c>
      <c r="AM4" s="113"/>
      <c r="AN4" s="114" t="str">
        <f>VLOOKUP(AL4,測定結果!A4:B43,2)</f>
        <v>A001</v>
      </c>
      <c r="AQ4"/>
    </row>
    <row r="5" spans="1:43" s="111" customFormat="1" ht="26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10"/>
      <c r="Y5" s="101"/>
      <c r="Z5" s="101"/>
      <c r="AD5" s="215">
        <v>1</v>
      </c>
      <c r="AE5" s="215"/>
      <c r="AF5" s="102">
        <f>INT(VLOOKUP($AL$4,測定結果!$A$4:$BD$43,1)/10)</f>
        <v>0</v>
      </c>
      <c r="AG5" s="105">
        <f>VLOOKUP($AL$4,測定結果!$A$4:$BD$43,1)-INT(VLOOKUP($AL$4,測定結果!$A$4:$BD$43,1)/10)*10</f>
        <v>1</v>
      </c>
      <c r="AH5" s="101"/>
      <c r="AI5" s="101"/>
      <c r="AJ5" s="101"/>
      <c r="AL5" s="112"/>
      <c r="AM5" s="113"/>
      <c r="AN5" s="114"/>
      <c r="AQ5"/>
    </row>
    <row r="6" spans="1:43" s="111" customFormat="1" ht="38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10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L6" s="112"/>
      <c r="AM6" s="113"/>
      <c r="AN6" s="114"/>
      <c r="AQ6"/>
    </row>
    <row r="7" spans="1:43" s="111" customFormat="1" ht="18.75" customHeight="1">
      <c r="A7" s="101"/>
      <c r="B7" s="101"/>
      <c r="C7" s="101"/>
      <c r="D7" s="101"/>
      <c r="E7" s="101"/>
      <c r="F7" s="101"/>
      <c r="G7" s="101"/>
      <c r="H7" s="102">
        <f>INT(VLOOKUP($AL$4,測定結果!$A$4:$BD$43,47)/10)</f>
        <v>0</v>
      </c>
      <c r="I7" s="102">
        <f>VLOOKUP($AL$4,測定結果!$A$4:$BD$43,47)-INT(VLOOKUP($AL$4,測定結果!$A$4:$BD$43,47)/10)*10</f>
        <v>0</v>
      </c>
      <c r="J7" s="103"/>
      <c r="K7" s="103"/>
      <c r="L7" s="103"/>
      <c r="M7" s="102">
        <f>INT(VLOOKUP($AL$4,測定結果!$A$4:$BD$43,48)/10)</f>
        <v>0</v>
      </c>
      <c r="N7" s="102">
        <f>VLOOKUP($AL$4,測定結果!$A$4:$BD$43,48)-INT(VLOOKUP($AL$4,測定結果!$A$4:$BD$43,48)/10)*10</f>
        <v>0</v>
      </c>
      <c r="S7"/>
      <c r="T7"/>
      <c r="U7"/>
      <c r="V7"/>
      <c r="W7"/>
      <c r="X7" s="106"/>
      <c r="Y7"/>
      <c r="Z7"/>
      <c r="AD7" s="103"/>
      <c r="AE7" s="103"/>
      <c r="AF7" s="102"/>
      <c r="AG7" s="104">
        <f>INT(VLOOKUP($AL$4,測定結果!$A$4:$BD$43,38)/10)-INT(VLOOKUP($AL$4,測定結果!$A$4:$BD$43,38)/100)*10</f>
        <v>0</v>
      </c>
      <c r="AH7" s="105">
        <f>INT(VLOOKUP($AL$4,測定結果!$A$4:$BD$43,38)-INT(VLOOKUP($AL$4,測定結果!$A$4:$BD$43,38)/10)*10)</f>
        <v>0</v>
      </c>
      <c r="AI7" s="101"/>
      <c r="AJ7" s="101"/>
      <c r="AQ7"/>
    </row>
    <row r="8" spans="1:43" s="111" customFormat="1" ht="6" customHeight="1">
      <c r="A8" s="101"/>
      <c r="B8" s="101"/>
      <c r="C8" s="101"/>
      <c r="D8" s="101"/>
      <c r="E8" s="101"/>
      <c r="F8" s="101"/>
      <c r="G8" s="101"/>
      <c r="H8" s="101"/>
      <c r="I8" s="101"/>
      <c r="J8"/>
      <c r="K8"/>
      <c r="L8" s="101"/>
      <c r="M8" s="103"/>
      <c r="N8" s="103"/>
      <c r="S8" s="103"/>
      <c r="T8" s="103"/>
      <c r="U8" s="103"/>
      <c r="V8" s="103"/>
      <c r="W8" s="103"/>
      <c r="X8" s="103"/>
      <c r="Y8"/>
      <c r="Z8"/>
      <c r="AD8" s="103"/>
      <c r="AE8" s="103"/>
      <c r="AF8" s="103"/>
      <c r="AG8" s="103"/>
      <c r="AH8"/>
      <c r="AI8" s="101"/>
      <c r="AJ8" s="101"/>
      <c r="AQ8"/>
    </row>
    <row r="9" spans="1:43" s="111" customFormat="1" ht="18.75" customHeight="1">
      <c r="A9" s="101"/>
      <c r="B9" s="101"/>
      <c r="C9" s="101"/>
      <c r="D9" s="101"/>
      <c r="E9" s="101"/>
      <c r="F9" s="101"/>
      <c r="G9" s="101"/>
      <c r="H9" s="101"/>
      <c r="I9" s="106"/>
      <c r="J9"/>
      <c r="K9"/>
      <c r="L9" s="101"/>
      <c r="M9" s="102">
        <f>INT(VLOOKUP($AL$4,測定結果!$A$4:$BD$43,33)/10)</f>
        <v>0</v>
      </c>
      <c r="N9" s="102">
        <f>VLOOKUP($AL$4,測定結果!$A$4:$BD$43,33)-INT(VLOOKUP($AL$4,測定結果!$A$4:$BD$43,33)/10)*10</f>
        <v>0</v>
      </c>
      <c r="S9" s="103"/>
      <c r="T9" s="103"/>
      <c r="U9" s="103"/>
      <c r="V9" s="103"/>
      <c r="W9" s="103"/>
      <c r="X9" s="106"/>
      <c r="Y9"/>
      <c r="Z9"/>
      <c r="AD9" s="216">
        <f>INT(VLOOKUP($AL$4,測定結果!$A$4:$BD$43,39)/10)</f>
        <v>0</v>
      </c>
      <c r="AE9" s="216"/>
      <c r="AF9" s="104">
        <f>INT(VLOOKUP($AL$4,測定結果!$A$4:$BD$43,39)-INT(VLOOKUP($AL$4,測定結果!$A$4:$BD$43,39)/10)*10)</f>
        <v>0</v>
      </c>
      <c r="AG9" s="104" t="s">
        <v>132</v>
      </c>
      <c r="AH9" s="105">
        <f>(VLOOKUP($AL$4,測定結果!$A$4:$BD$43,39)-INT(VLOOKUP($AL$4,測定結果!$A$4:$BD$43,39)))*10</f>
        <v>0</v>
      </c>
      <c r="AI9" s="101"/>
      <c r="AJ9" s="101"/>
      <c r="AQ9"/>
    </row>
    <row r="10" spans="1:43" s="111" customFormat="1" ht="6" customHeight="1">
      <c r="A10" s="101"/>
      <c r="B10" s="101"/>
      <c r="C10" s="101"/>
      <c r="D10" s="101"/>
      <c r="E10" s="101"/>
      <c r="F10" s="101"/>
      <c r="G10" s="101"/>
      <c r="H10" s="101"/>
      <c r="I10" s="101"/>
      <c r="J10"/>
      <c r="K10"/>
      <c r="L10" s="101"/>
      <c r="M10" s="103"/>
      <c r="N10" s="103"/>
      <c r="S10" s="103"/>
      <c r="T10" s="103"/>
      <c r="U10" s="103"/>
      <c r="V10" s="103"/>
      <c r="W10" s="103"/>
      <c r="X10" s="103"/>
      <c r="Y10"/>
      <c r="Z10"/>
      <c r="AD10" s="103"/>
      <c r="AE10" s="103"/>
      <c r="AF10" s="103"/>
      <c r="AG10" s="103"/>
      <c r="AH10"/>
      <c r="AI10" s="101"/>
      <c r="AJ10" s="101"/>
      <c r="AQ10"/>
    </row>
    <row r="11" spans="1:43" s="111" customFormat="1" ht="18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/>
      <c r="K11"/>
      <c r="L11" s="101"/>
      <c r="M11" s="102">
        <f>INT(VLOOKUP($AL$4,測定結果!$A$4:$BD$43,51)/10)</f>
        <v>0</v>
      </c>
      <c r="N11" s="102">
        <f>VLOOKUP($AL$4,測定結果!$A$4:$BD$43,51)-INT(VLOOKUP($AL$4,測定結果!$A$4:$BD$43,51)/10)*10</f>
        <v>0</v>
      </c>
      <c r="S11" s="103"/>
      <c r="T11" s="103"/>
      <c r="U11" s="103"/>
      <c r="V11" s="103"/>
      <c r="W11" s="103"/>
      <c r="X11" s="103"/>
      <c r="Y11"/>
      <c r="Z11"/>
      <c r="AD11" s="103"/>
      <c r="AE11" s="103"/>
      <c r="AF11" s="105">
        <f>INT(VLOOKUP($AL$4,測定結果!$A$4:$BD$43,53)/100)</f>
        <v>0</v>
      </c>
      <c r="AG11" s="161">
        <f>INT(VLOOKUP($AL$4,測定結果!$A$4:$BD$43,53)/10)-INT(VLOOKUP($AL$4,測定結果!$A$4:$BD$43,53)/100)*10</f>
        <v>0</v>
      </c>
      <c r="AH11" s="105">
        <f>VLOOKUP($AL$4,測定結果!$A$4:$BD$43,53)-INT(VLOOKUP($AL$4,測定結果!$A$4:$BD$43,53)/10)*10</f>
        <v>0</v>
      </c>
      <c r="AI11" s="155"/>
      <c r="AJ11" s="106"/>
      <c r="AQ11"/>
    </row>
    <row r="12" spans="1:43" s="111" customFormat="1" ht="6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/>
      <c r="K12"/>
      <c r="L12" s="101"/>
      <c r="M12" s="101"/>
      <c r="N12" s="101"/>
      <c r="S12" s="101"/>
      <c r="T12" s="101"/>
      <c r="U12" s="101"/>
      <c r="V12" s="101"/>
      <c r="W12" s="101"/>
      <c r="X12" s="101"/>
      <c r="Y12"/>
      <c r="Z12"/>
      <c r="AD12" s="101"/>
      <c r="AE12" s="101"/>
      <c r="AF12" s="101"/>
      <c r="AG12" s="101"/>
      <c r="AH12"/>
      <c r="AI12" s="156"/>
      <c r="AJ12" s="101"/>
      <c r="AQ12"/>
    </row>
    <row r="13" spans="1:43" s="111" customFormat="1" ht="18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/>
      <c r="K13"/>
      <c r="L13" s="101"/>
      <c r="M13" s="102">
        <f>INT(VLOOKUP($AL$4,測定結果!$A$4:$BD$43,52)/10)</f>
        <v>0</v>
      </c>
      <c r="N13" s="102">
        <f>VLOOKUP($AL$4,測定結果!$A$4:$BD$43,52)-INT(VLOOKUP($AL$4,測定結果!$A$4:$BD$43,52)/10)*10</f>
        <v>0</v>
      </c>
      <c r="S13" s="103"/>
      <c r="T13" s="103"/>
      <c r="U13" s="103"/>
      <c r="V13" s="103"/>
      <c r="W13" s="103"/>
      <c r="X13" s="103"/>
      <c r="Y13"/>
      <c r="Z13"/>
      <c r="AD13" s="103"/>
      <c r="AE13" s="103"/>
      <c r="AF13"/>
      <c r="AG13" s="105">
        <f>INT(VLOOKUP($AL$4,測定結果!$A$4:$BD$43,54)/10)-INT(VLOOKUP($AL$4,測定結果!$A$4:$BD$43,54)/100)*10</f>
        <v>0</v>
      </c>
      <c r="AH13" s="105">
        <f>INT(VLOOKUP($AL$4,測定結果!$A$4:$BD$43,54)-INT(VLOOKUP($AL$4,測定結果!$A$4:$BD$43,54)/10)*10)</f>
        <v>0</v>
      </c>
      <c r="AI13" s="155"/>
      <c r="AJ13" s="106"/>
      <c r="AQ13"/>
    </row>
    <row r="14" spans="1:43" s="111" customFormat="1" ht="5.2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/>
      <c r="K14"/>
      <c r="L14" s="101"/>
      <c r="M14" s="103"/>
      <c r="N14" s="103"/>
      <c r="S14" s="103"/>
      <c r="T14" s="103"/>
      <c r="U14" s="103"/>
      <c r="V14" s="103"/>
      <c r="W14" s="103"/>
      <c r="X14" s="103"/>
      <c r="Y14"/>
      <c r="Z14"/>
      <c r="AD14" s="103"/>
      <c r="AE14" s="103"/>
      <c r="AF14" s="103"/>
      <c r="AG14" s="103"/>
      <c r="AH14"/>
      <c r="AI14" s="156"/>
      <c r="AJ14" s="101"/>
      <c r="AQ14"/>
    </row>
    <row r="15" spans="1:43" s="111" customFormat="1" ht="18.75" customHeight="1">
      <c r="A15" s="101"/>
      <c r="B15" s="101"/>
      <c r="C15" s="101"/>
      <c r="D15" s="101"/>
      <c r="E15" s="101"/>
      <c r="F15" s="101"/>
      <c r="G15" s="101"/>
      <c r="H15" s="101"/>
      <c r="I15" s="106"/>
      <c r="J15" s="105"/>
      <c r="K15" s="110">
        <f>INT(VLOOKUP($AL$4,測定結果!$A$4:$BD$43,45)/100)</f>
        <v>0</v>
      </c>
      <c r="L15" s="110">
        <f>INT(VLOOKUP($AL$4,測定結果!$A$4:$BD$43,45)/10)-INT(VLOOKUP($AL$4,測定結果!$A$4:$BD$43,45)/100)*10</f>
        <v>0</v>
      </c>
      <c r="M15" s="110">
        <f>INT(VLOOKUP($AL$4,測定結果!$A$4:$BD$43,45)-INT(VLOOKUP($AL$4,測定結果!$A$4:$BD$43,45)/10)*10)</f>
        <v>0</v>
      </c>
      <c r="N15" s="105">
        <f>(VLOOKUP($AL$4,測定結果!$A$4:$BD$43,45)-INT(VLOOKUP($AL$4,測定結果!$A$4:$BD$43,45)))*10</f>
        <v>0</v>
      </c>
      <c r="S15" s="103"/>
      <c r="T15" s="103"/>
      <c r="U15" s="103"/>
      <c r="V15" s="103"/>
      <c r="W15" s="103"/>
      <c r="X15" s="106"/>
      <c r="Y15"/>
      <c r="Z15"/>
      <c r="AD15" s="160"/>
      <c r="AE15" s="216">
        <f>INT(VLOOKUP($AL$4,測定結果!$A$4:$BD$43,46)/10)-INT(VLOOKUP($AL$4,測定結果!$A$4:$BD$43,46)/100)*10</f>
        <v>0</v>
      </c>
      <c r="AF15" s="216"/>
      <c r="AG15" s="110">
        <f>INT(VLOOKUP($AL$4,測定結果!$A$4:$BD$43,46)-INT(VLOOKUP($AL$4,測定結果!$A$4:$BD$43,46)/10)*10)</f>
        <v>0</v>
      </c>
      <c r="AH15" s="106">
        <f>(VLOOKUP($AL$4,測定結果!$A$4:$BD$43,46)-INT(VLOOKUP($AL$4,測定結果!$A$4:$BD$43,46)))*10</f>
        <v>0</v>
      </c>
      <c r="AI15" s="155"/>
      <c r="AJ15" s="106"/>
      <c r="AQ15"/>
    </row>
    <row r="16" spans="1:43" s="111" customFormat="1" ht="4.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/>
      <c r="O16"/>
      <c r="P16" s="101"/>
      <c r="Q16" s="103"/>
      <c r="R16" s="103"/>
      <c r="S16" s="103"/>
      <c r="T16" s="103"/>
      <c r="U16" s="103"/>
      <c r="V16" s="103"/>
      <c r="W16" s="103"/>
      <c r="X16" s="103"/>
      <c r="Y16"/>
      <c r="Z16"/>
      <c r="AC16" s="103"/>
      <c r="AD16" s="103"/>
      <c r="AE16" s="103"/>
      <c r="AF16" s="103"/>
      <c r="AG16"/>
      <c r="AH16" s="156"/>
      <c r="AI16" s="156"/>
      <c r="AJ16" s="101"/>
      <c r="AQ16"/>
    </row>
    <row r="17" spans="1:43" s="111" customFormat="1" ht="18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6"/>
      <c r="N17"/>
      <c r="O17"/>
      <c r="P17" s="101"/>
      <c r="Q17"/>
      <c r="R17"/>
      <c r="S17" s="103"/>
      <c r="T17" s="103"/>
      <c r="U17" s="103"/>
      <c r="V17" s="103"/>
      <c r="W17" s="103"/>
      <c r="X17" s="106"/>
      <c r="Y17"/>
      <c r="Z17"/>
      <c r="AA17" s="103"/>
      <c r="AB17" s="102"/>
      <c r="AC17" s="102"/>
      <c r="AD17"/>
      <c r="AE17"/>
      <c r="AF17"/>
      <c r="AG17"/>
      <c r="AH17" s="155"/>
      <c r="AI17" s="155"/>
      <c r="AJ17" s="106"/>
      <c r="AQ17"/>
    </row>
    <row r="18" spans="1:43" s="111" customFormat="1" ht="4.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/>
      <c r="Z18"/>
      <c r="AA18" s="101"/>
      <c r="AB18" s="101"/>
      <c r="AC18" s="101"/>
      <c r="AD18"/>
      <c r="AE18"/>
      <c r="AF18"/>
      <c r="AG18"/>
      <c r="AH18" s="156"/>
      <c r="AI18" s="156"/>
      <c r="AJ18" s="101"/>
      <c r="AQ18"/>
    </row>
    <row r="19" spans="1:43" ht="18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O19" s="101"/>
      <c r="P19" s="101"/>
      <c r="Q19" s="103"/>
      <c r="R19" s="103"/>
      <c r="S19" s="103"/>
      <c r="T19" s="103"/>
      <c r="U19" s="103"/>
      <c r="V19" s="103"/>
      <c r="W19" s="103"/>
      <c r="X19" s="103"/>
      <c r="AA19" s="104"/>
      <c r="AH19" s="155"/>
      <c r="AI19" s="155"/>
      <c r="AJ19" s="106"/>
    </row>
    <row r="20" spans="1:43" ht="6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O20" s="101"/>
      <c r="P20" s="101"/>
      <c r="Q20" s="103"/>
      <c r="R20" s="103"/>
      <c r="S20" s="103"/>
      <c r="T20" s="103"/>
      <c r="U20" s="103"/>
      <c r="V20" s="103"/>
      <c r="W20" s="103"/>
      <c r="X20" s="103"/>
      <c r="Z20" s="103"/>
      <c r="AA20" s="103"/>
      <c r="AB20" s="103"/>
      <c r="AC20" s="103"/>
      <c r="AH20" s="156"/>
      <c r="AI20" s="156"/>
      <c r="AJ20" s="101"/>
    </row>
    <row r="21" spans="1:43" ht="18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O21" s="101"/>
      <c r="P21" s="101"/>
      <c r="Q21" s="103"/>
      <c r="R21" s="103"/>
      <c r="S21" s="103"/>
      <c r="T21" s="103"/>
      <c r="U21" s="103"/>
      <c r="V21" s="103"/>
      <c r="W21" s="103"/>
      <c r="X21" s="103"/>
      <c r="Z21" s="104"/>
      <c r="AH21" s="155"/>
      <c r="AI21" s="155"/>
      <c r="AJ21" s="106"/>
    </row>
    <row r="22" spans="1:43" ht="3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O22" s="101"/>
      <c r="P22" s="101"/>
      <c r="Q22" s="103"/>
      <c r="R22" s="103"/>
      <c r="S22" s="103"/>
      <c r="T22" s="103"/>
      <c r="U22" s="103"/>
      <c r="V22" s="103"/>
      <c r="W22" s="103"/>
      <c r="X22" s="103"/>
      <c r="Z22" s="103"/>
      <c r="AA22" s="103"/>
      <c r="AB22" s="103"/>
      <c r="AC22" s="103"/>
      <c r="AH22" s="156"/>
      <c r="AI22" s="156"/>
      <c r="AJ22" s="101"/>
    </row>
    <row r="23" spans="1:43" ht="18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6"/>
      <c r="O23" s="101"/>
      <c r="S23" s="103"/>
      <c r="T23" s="103"/>
      <c r="U23" s="103"/>
      <c r="V23" s="103"/>
      <c r="W23" s="103"/>
      <c r="X23" s="106"/>
      <c r="Z23" s="103"/>
      <c r="AA23" s="105"/>
      <c r="AB23" s="105"/>
      <c r="AC23" s="105"/>
      <c r="AH23" s="155"/>
      <c r="AI23" s="155"/>
      <c r="AJ23" s="106"/>
    </row>
    <row r="24" spans="1:43" ht="6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Z24" s="101"/>
      <c r="AA24" s="101"/>
      <c r="AB24" s="101"/>
      <c r="AC24" s="101"/>
      <c r="AH24" s="156"/>
      <c r="AI24" s="156"/>
      <c r="AJ24" s="101"/>
    </row>
    <row r="25" spans="1:43" s="111" customFormat="1" ht="18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6"/>
      <c r="P25" s="101"/>
      <c r="Q25" s="105"/>
      <c r="R25" s="105"/>
      <c r="S25" s="103"/>
      <c r="T25" s="103"/>
      <c r="U25" s="103"/>
      <c r="V25" s="103"/>
      <c r="W25" s="103"/>
      <c r="X25" s="106"/>
      <c r="AA25" s="103"/>
      <c r="AH25" s="155"/>
      <c r="AI25" s="155"/>
      <c r="AJ25" s="106"/>
      <c r="AQ25"/>
    </row>
    <row r="26" spans="1:43" s="111" customFormat="1" ht="23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5"/>
      <c r="R26" s="105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5"/>
      <c r="AE26" s="105"/>
      <c r="AF26" s="105"/>
      <c r="AG26" s="103"/>
      <c r="AH26" s="157"/>
      <c r="AI26" s="156"/>
      <c r="AJ26" s="101"/>
      <c r="AQ26"/>
    </row>
    <row r="27" spans="1:43" s="7" customFormat="1" ht="30" customHeight="1">
      <c r="A27" s="106"/>
      <c r="B27" s="106"/>
      <c r="C27" s="106"/>
      <c r="D27" s="106"/>
      <c r="E27" s="106"/>
      <c r="F27" s="106"/>
      <c r="G27" s="106"/>
      <c r="H27" s="106"/>
      <c r="X27" s="102"/>
      <c r="Y27" s="102"/>
      <c r="AD27" s="104"/>
      <c r="AE27" s="104"/>
      <c r="AF27" s="104"/>
      <c r="AG27" s="102"/>
      <c r="AH27" s="110"/>
      <c r="AI27" s="102"/>
      <c r="AJ27" s="102"/>
      <c r="AK27" s="115"/>
      <c r="AL27" s="115"/>
      <c r="AM27" s="115"/>
      <c r="AN27" s="115"/>
      <c r="AO27" s="115"/>
      <c r="AP27" s="115"/>
    </row>
    <row r="28" spans="1:43" s="7" customFormat="1" ht="16.5" customHeight="1">
      <c r="A28" s="106"/>
      <c r="B28" s="106"/>
      <c r="C28" s="106"/>
      <c r="D28" s="106"/>
      <c r="E28" s="106"/>
      <c r="F28" s="106"/>
      <c r="G28" s="106"/>
      <c r="H28" s="106"/>
      <c r="I28" s="105"/>
      <c r="J28" s="105"/>
      <c r="K28" s="105"/>
      <c r="L28" s="102"/>
      <c r="M28" s="110"/>
      <c r="N28" s="110"/>
      <c r="O28" s="102"/>
      <c r="P28" s="102"/>
      <c r="Q28" s="102"/>
      <c r="R28" s="102"/>
      <c r="S28" s="102"/>
      <c r="T28" s="110"/>
      <c r="U28" s="110"/>
      <c r="V28" s="110"/>
      <c r="W28" s="106"/>
      <c r="X28" s="102"/>
      <c r="Y28" s="102"/>
      <c r="Z28" s="102"/>
      <c r="AA28" s="102"/>
      <c r="AB28" s="102"/>
      <c r="AC28" s="110"/>
      <c r="AD28" s="104"/>
      <c r="AE28" s="104"/>
      <c r="AF28" s="104"/>
      <c r="AG28" s="102"/>
      <c r="AH28" s="110"/>
      <c r="AI28" s="102"/>
      <c r="AJ28" s="102"/>
      <c r="AK28" s="115"/>
      <c r="AL28" s="115"/>
      <c r="AM28" s="115"/>
      <c r="AN28" s="115"/>
      <c r="AO28" s="115"/>
      <c r="AP28" s="115"/>
    </row>
    <row r="29" spans="1:43" s="111" customFormat="1" ht="24" customHeight="1">
      <c r="A29" s="101"/>
      <c r="B29" s="106"/>
      <c r="C29" s="106"/>
      <c r="D29" s="102"/>
      <c r="G29" s="158"/>
      <c r="H29" s="158"/>
      <c r="I29" s="158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V29" s="108"/>
      <c r="W29" s="107"/>
      <c r="X29" s="107"/>
      <c r="Y29" s="109"/>
      <c r="Z29" s="102"/>
      <c r="AA29" s="102"/>
      <c r="AC29" s="102"/>
      <c r="AD29" s="102"/>
      <c r="AE29" s="102"/>
      <c r="AQ29"/>
    </row>
    <row r="30" spans="1:43" s="111" customFormat="1" ht="13.5" customHeight="1">
      <c r="A30" s="101"/>
      <c r="B30" s="101"/>
      <c r="C30" s="101"/>
      <c r="D30" s="101"/>
      <c r="E30" s="101"/>
      <c r="F30" s="101"/>
      <c r="G30" s="101"/>
      <c r="H30" s="101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Q30"/>
    </row>
    <row r="31" spans="1:43" s="111" customFormat="1" ht="36.75" customHeight="1">
      <c r="A31" s="101"/>
      <c r="B31" s="101"/>
      <c r="C31" s="101"/>
      <c r="D31" s="101"/>
      <c r="E31" s="101"/>
      <c r="F31" s="101"/>
      <c r="G31" s="101"/>
      <c r="H31" s="101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101"/>
      <c r="Z31" s="101"/>
      <c r="AA31" s="101"/>
      <c r="AB31" s="107"/>
      <c r="AH31" s="101"/>
      <c r="AI31" s="101"/>
      <c r="AJ31" s="101"/>
      <c r="AQ31"/>
    </row>
    <row r="32" spans="1:43" s="111" customFormat="1" ht="12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Q32"/>
    </row>
    <row r="33" spans="1:43" s="111" customForma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Q33"/>
    </row>
    <row r="34" spans="1:43" s="111" customForma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Q34"/>
    </row>
    <row r="35" spans="1:43" s="111" customForma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Q35"/>
    </row>
    <row r="36" spans="1:43" s="111" customForma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Q36"/>
    </row>
    <row r="37" spans="1:43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</row>
    <row r="38" spans="1:4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</row>
    <row r="39" spans="1:43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</row>
    <row r="40" spans="1:43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</row>
    <row r="41" spans="1:43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</row>
    <row r="42" spans="1:43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</row>
    <row r="43" spans="1:43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</row>
    <row r="44" spans="1:43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</row>
    <row r="45" spans="1:43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1:43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</row>
    <row r="47" spans="1:43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9" spans="1:43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</row>
    <row r="50" spans="1:43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</row>
    <row r="51" spans="1:43" s="111" customForma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Q51"/>
    </row>
    <row r="52" spans="1:43" s="111" customForma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Q52"/>
    </row>
  </sheetData>
  <sheetProtection formatColumns="0" formatRows="0"/>
  <mergeCells count="6">
    <mergeCell ref="U2:AI3"/>
    <mergeCell ref="I30:X30"/>
    <mergeCell ref="I31:X31"/>
    <mergeCell ref="AD5:AE5"/>
    <mergeCell ref="AE15:AF15"/>
    <mergeCell ref="AD9:AE9"/>
  </mergeCells>
  <phoneticPr fontId="12"/>
  <conditionalFormatting sqref="M9 M11 AB17 AA23 T28 M13 AC28 AF11 Z21 AA19 AF7:AG7">
    <cfRule type="cellIs" dxfId="51" priority="4" stopIfTrue="1" operator="equal">
      <formula>0</formula>
    </cfRule>
  </conditionalFormatting>
  <conditionalFormatting sqref="M7">
    <cfRule type="cellIs" dxfId="50" priority="3" stopIfTrue="1" operator="equal">
      <formula>0</formula>
    </cfRule>
  </conditionalFormatting>
  <conditionalFormatting sqref="AD9:AE9">
    <cfRule type="cellIs" dxfId="49" priority="2" stopIfTrue="1" operator="equal">
      <formula>0</formula>
    </cfRule>
  </conditionalFormatting>
  <conditionalFormatting sqref="H7">
    <cfRule type="cellIs" dxfId="48" priority="1" stopIfTrue="1" operator="equal">
      <formula>0</formula>
    </cfRule>
  </conditionalFormatting>
  <dataValidations disablePrompts="1" count="1">
    <dataValidation imeMode="hiragana" allowBlank="1" showInputMessage="1" showErrorMessage="1" sqref="I30:X30" xr:uid="{00000000-0002-0000-0000-000000000000}"/>
  </dataValidations>
  <pageMargins left="0.62992125984251968" right="0.19685039370078741" top="0" bottom="0.70866141732283472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4065" r:id="rId4" name="Spinner 1">
              <controlPr locked="0" defaultSize="0" autoPict="0">
                <anchor moveWithCells="1" sizeWithCells="1">
                  <from>
                    <xdr:col>37</xdr:col>
                    <xdr:colOff>47625</xdr:colOff>
                    <xdr:row>7</xdr:row>
                    <xdr:rowOff>28575</xdr:rowOff>
                  </from>
                  <to>
                    <xdr:col>37</xdr:col>
                    <xdr:colOff>533400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Y27"/>
  <sheetViews>
    <sheetView workbookViewId="0">
      <selection activeCell="U48" sqref="U48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Y4">
        <v>1</v>
      </c>
    </row>
    <row r="5" spans="1:25">
      <c r="A5">
        <v>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5</v>
      </c>
      <c r="T5">
        <v>5</v>
      </c>
      <c r="Y5">
        <v>2</v>
      </c>
    </row>
    <row r="6" spans="1:25">
      <c r="A6">
        <v>7</v>
      </c>
      <c r="B6">
        <v>7</v>
      </c>
      <c r="C6">
        <v>7</v>
      </c>
      <c r="D6">
        <v>7</v>
      </c>
      <c r="E6">
        <v>7</v>
      </c>
      <c r="F6">
        <v>7</v>
      </c>
      <c r="G6">
        <v>7</v>
      </c>
      <c r="H6">
        <v>7</v>
      </c>
      <c r="I6">
        <v>7</v>
      </c>
      <c r="J6">
        <v>7</v>
      </c>
      <c r="K6">
        <v>7</v>
      </c>
      <c r="L6">
        <v>7</v>
      </c>
      <c r="M6">
        <v>7</v>
      </c>
      <c r="N6">
        <v>7</v>
      </c>
      <c r="O6">
        <v>7</v>
      </c>
      <c r="P6">
        <v>7</v>
      </c>
      <c r="Q6">
        <v>7</v>
      </c>
      <c r="R6">
        <v>7</v>
      </c>
      <c r="S6">
        <v>7</v>
      </c>
      <c r="T6">
        <v>7</v>
      </c>
      <c r="Y6">
        <v>3</v>
      </c>
    </row>
    <row r="7" spans="1:25">
      <c r="A7">
        <v>9</v>
      </c>
      <c r="B7">
        <v>9</v>
      </c>
      <c r="C7">
        <v>9</v>
      </c>
      <c r="D7">
        <v>9</v>
      </c>
      <c r="E7">
        <v>9</v>
      </c>
      <c r="F7">
        <v>9</v>
      </c>
      <c r="G7">
        <v>9</v>
      </c>
      <c r="H7">
        <v>9</v>
      </c>
      <c r="I7">
        <v>9</v>
      </c>
      <c r="J7">
        <v>9</v>
      </c>
      <c r="K7">
        <v>9</v>
      </c>
      <c r="L7">
        <v>9</v>
      </c>
      <c r="M7">
        <v>9</v>
      </c>
      <c r="N7">
        <v>9</v>
      </c>
      <c r="O7">
        <v>9</v>
      </c>
      <c r="P7">
        <v>9</v>
      </c>
      <c r="Q7">
        <v>9</v>
      </c>
      <c r="R7">
        <v>9</v>
      </c>
      <c r="S7">
        <v>9</v>
      </c>
      <c r="T7">
        <v>9</v>
      </c>
      <c r="Y7">
        <v>4</v>
      </c>
    </row>
    <row r="8" spans="1:25">
      <c r="A8">
        <v>11</v>
      </c>
      <c r="B8">
        <v>11</v>
      </c>
      <c r="C8">
        <v>11</v>
      </c>
      <c r="D8">
        <v>11</v>
      </c>
      <c r="E8">
        <v>11</v>
      </c>
      <c r="F8">
        <v>11</v>
      </c>
      <c r="G8">
        <v>11</v>
      </c>
      <c r="H8">
        <v>11</v>
      </c>
      <c r="I8">
        <v>11</v>
      </c>
      <c r="J8">
        <v>11</v>
      </c>
      <c r="K8">
        <v>11</v>
      </c>
      <c r="L8">
        <v>11</v>
      </c>
      <c r="M8">
        <v>11</v>
      </c>
      <c r="N8">
        <v>11</v>
      </c>
      <c r="O8">
        <v>11</v>
      </c>
      <c r="P8">
        <v>11</v>
      </c>
      <c r="Q8">
        <v>11</v>
      </c>
      <c r="R8">
        <v>11</v>
      </c>
      <c r="S8">
        <v>11</v>
      </c>
      <c r="T8">
        <v>11</v>
      </c>
      <c r="X8" s="21"/>
      <c r="Y8">
        <v>5</v>
      </c>
    </row>
    <row r="9" spans="1:25">
      <c r="A9">
        <v>14</v>
      </c>
      <c r="B9">
        <v>14</v>
      </c>
      <c r="C9">
        <v>14</v>
      </c>
      <c r="D9">
        <v>14</v>
      </c>
      <c r="E9">
        <v>14</v>
      </c>
      <c r="F9">
        <v>14</v>
      </c>
      <c r="G9">
        <v>14</v>
      </c>
      <c r="H9">
        <v>14</v>
      </c>
      <c r="I9">
        <v>14</v>
      </c>
      <c r="J9">
        <v>14</v>
      </c>
      <c r="K9">
        <v>14</v>
      </c>
      <c r="L9">
        <v>14</v>
      </c>
      <c r="M9">
        <v>14</v>
      </c>
      <c r="N9">
        <v>14</v>
      </c>
      <c r="O9">
        <v>14</v>
      </c>
      <c r="P9">
        <v>14</v>
      </c>
      <c r="Q9">
        <v>14</v>
      </c>
      <c r="R9">
        <v>14</v>
      </c>
      <c r="S9">
        <v>14</v>
      </c>
      <c r="T9">
        <v>14</v>
      </c>
      <c r="Y9">
        <v>6</v>
      </c>
    </row>
    <row r="10" spans="1:25">
      <c r="A10">
        <v>17</v>
      </c>
      <c r="B10">
        <v>17</v>
      </c>
      <c r="C10">
        <v>17</v>
      </c>
      <c r="D10">
        <v>17</v>
      </c>
      <c r="E10">
        <v>17</v>
      </c>
      <c r="F10">
        <v>17</v>
      </c>
      <c r="G10">
        <v>17</v>
      </c>
      <c r="H10">
        <v>17</v>
      </c>
      <c r="I10">
        <v>17</v>
      </c>
      <c r="J10">
        <v>17</v>
      </c>
      <c r="K10">
        <v>17</v>
      </c>
      <c r="L10">
        <v>17</v>
      </c>
      <c r="M10">
        <v>17</v>
      </c>
      <c r="N10">
        <v>17</v>
      </c>
      <c r="O10">
        <v>17</v>
      </c>
      <c r="P10">
        <v>17</v>
      </c>
      <c r="Q10">
        <v>17</v>
      </c>
      <c r="R10">
        <v>17</v>
      </c>
      <c r="S10">
        <v>17</v>
      </c>
      <c r="T10">
        <v>17</v>
      </c>
      <c r="Y10">
        <v>7</v>
      </c>
    </row>
    <row r="11" spans="1:25">
      <c r="A11">
        <v>20</v>
      </c>
      <c r="B11">
        <v>20</v>
      </c>
      <c r="C11">
        <v>20</v>
      </c>
      <c r="D11">
        <v>20</v>
      </c>
      <c r="E11">
        <v>20</v>
      </c>
      <c r="F11">
        <v>20</v>
      </c>
      <c r="G11">
        <v>20</v>
      </c>
      <c r="H11">
        <v>20</v>
      </c>
      <c r="I11">
        <v>20</v>
      </c>
      <c r="J11">
        <v>20</v>
      </c>
      <c r="K11">
        <v>20</v>
      </c>
      <c r="L11">
        <v>20</v>
      </c>
      <c r="M11">
        <v>20</v>
      </c>
      <c r="N11">
        <v>20</v>
      </c>
      <c r="O11">
        <v>20</v>
      </c>
      <c r="P11">
        <v>20</v>
      </c>
      <c r="Q11">
        <v>20</v>
      </c>
      <c r="R11">
        <v>20</v>
      </c>
      <c r="S11">
        <v>20</v>
      </c>
      <c r="T11">
        <v>20</v>
      </c>
      <c r="Y11">
        <v>8</v>
      </c>
    </row>
    <row r="12" spans="1:25">
      <c r="A12">
        <v>23</v>
      </c>
      <c r="B12">
        <v>23</v>
      </c>
      <c r="C12">
        <v>23</v>
      </c>
      <c r="D12">
        <v>23</v>
      </c>
      <c r="E12">
        <v>23</v>
      </c>
      <c r="F12">
        <v>23</v>
      </c>
      <c r="G12">
        <v>23</v>
      </c>
      <c r="H12">
        <v>23</v>
      </c>
      <c r="I12">
        <v>23</v>
      </c>
      <c r="J12">
        <v>23</v>
      </c>
      <c r="K12">
        <v>23</v>
      </c>
      <c r="L12">
        <v>23</v>
      </c>
      <c r="M12">
        <v>23</v>
      </c>
      <c r="N12">
        <v>23</v>
      </c>
      <c r="O12">
        <v>23</v>
      </c>
      <c r="P12">
        <v>23</v>
      </c>
      <c r="Q12">
        <v>23</v>
      </c>
      <c r="R12">
        <v>23</v>
      </c>
      <c r="S12">
        <v>23</v>
      </c>
      <c r="T12">
        <v>23</v>
      </c>
      <c r="Y12">
        <v>9</v>
      </c>
    </row>
    <row r="13" spans="1:25">
      <c r="A13">
        <v>26</v>
      </c>
      <c r="B13">
        <v>26</v>
      </c>
      <c r="C13">
        <v>26</v>
      </c>
      <c r="D13">
        <v>26</v>
      </c>
      <c r="E13">
        <v>26</v>
      </c>
      <c r="F13">
        <v>26</v>
      </c>
      <c r="G13">
        <v>26</v>
      </c>
      <c r="H13">
        <v>26</v>
      </c>
      <c r="I13">
        <v>26</v>
      </c>
      <c r="J13">
        <v>26</v>
      </c>
      <c r="K13">
        <v>26</v>
      </c>
      <c r="L13">
        <v>26</v>
      </c>
      <c r="M13">
        <v>26</v>
      </c>
      <c r="N13">
        <v>26</v>
      </c>
      <c r="O13">
        <v>26</v>
      </c>
      <c r="P13">
        <v>26</v>
      </c>
      <c r="Q13">
        <v>26</v>
      </c>
      <c r="R13">
        <v>26</v>
      </c>
      <c r="S13">
        <v>26</v>
      </c>
      <c r="T13">
        <v>26</v>
      </c>
      <c r="Y13">
        <v>10</v>
      </c>
    </row>
    <row r="15" spans="1:25">
      <c r="A15" t="s">
        <v>21</v>
      </c>
    </row>
    <row r="16" spans="1:25">
      <c r="Y16" t="s">
        <v>16</v>
      </c>
    </row>
    <row r="17" spans="1:25">
      <c r="Y17">
        <v>0</v>
      </c>
    </row>
    <row r="18" spans="1: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>
        <v>4</v>
      </c>
      <c r="B19">
        <v>4</v>
      </c>
      <c r="C19">
        <v>4</v>
      </c>
      <c r="D19">
        <v>4</v>
      </c>
      <c r="E19">
        <v>4</v>
      </c>
      <c r="F19">
        <v>4</v>
      </c>
      <c r="G19">
        <v>4</v>
      </c>
      <c r="H19">
        <v>4</v>
      </c>
      <c r="I19">
        <v>4</v>
      </c>
      <c r="J19">
        <v>4</v>
      </c>
      <c r="K19">
        <v>4</v>
      </c>
      <c r="L19">
        <v>4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  <c r="V19">
        <v>4</v>
      </c>
      <c r="W19">
        <v>4</v>
      </c>
      <c r="X19">
        <v>4</v>
      </c>
      <c r="Y19">
        <v>2</v>
      </c>
    </row>
    <row r="20" spans="1:25">
      <c r="A20">
        <v>7</v>
      </c>
      <c r="B20">
        <v>7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O20">
        <v>7</v>
      </c>
      <c r="P20">
        <v>7</v>
      </c>
      <c r="Q20">
        <v>7</v>
      </c>
      <c r="R20">
        <v>7</v>
      </c>
      <c r="S20">
        <v>7</v>
      </c>
      <c r="T20">
        <v>7</v>
      </c>
      <c r="U20">
        <v>7</v>
      </c>
      <c r="V20">
        <v>7</v>
      </c>
      <c r="W20">
        <v>7</v>
      </c>
      <c r="X20">
        <v>7</v>
      </c>
      <c r="Y20">
        <v>3</v>
      </c>
    </row>
    <row r="21" spans="1:25">
      <c r="A21">
        <v>9</v>
      </c>
      <c r="B21">
        <v>9</v>
      </c>
      <c r="C21">
        <v>9</v>
      </c>
      <c r="D21">
        <v>9</v>
      </c>
      <c r="E21">
        <v>9</v>
      </c>
      <c r="F21">
        <v>9</v>
      </c>
      <c r="G21">
        <v>9</v>
      </c>
      <c r="H21">
        <v>9</v>
      </c>
      <c r="I21">
        <v>9</v>
      </c>
      <c r="J21">
        <v>9</v>
      </c>
      <c r="K21">
        <v>9</v>
      </c>
      <c r="L21">
        <v>9</v>
      </c>
      <c r="M21">
        <v>9</v>
      </c>
      <c r="N21">
        <v>9</v>
      </c>
      <c r="O21">
        <v>9</v>
      </c>
      <c r="P21">
        <v>9</v>
      </c>
      <c r="Q21">
        <v>9</v>
      </c>
      <c r="R21">
        <v>9</v>
      </c>
      <c r="S21">
        <v>9</v>
      </c>
      <c r="T21">
        <v>9</v>
      </c>
      <c r="U21">
        <v>9</v>
      </c>
      <c r="V21">
        <v>9</v>
      </c>
      <c r="W21">
        <v>9</v>
      </c>
      <c r="X21">
        <v>9</v>
      </c>
      <c r="Y21">
        <v>4</v>
      </c>
    </row>
    <row r="22" spans="1:25">
      <c r="A22">
        <v>11</v>
      </c>
      <c r="B22">
        <v>11</v>
      </c>
      <c r="C22">
        <v>11</v>
      </c>
      <c r="D22">
        <v>11</v>
      </c>
      <c r="E22">
        <v>11</v>
      </c>
      <c r="F22">
        <v>11</v>
      </c>
      <c r="G22">
        <v>11</v>
      </c>
      <c r="H22">
        <v>11</v>
      </c>
      <c r="I22">
        <v>11</v>
      </c>
      <c r="J22">
        <v>11</v>
      </c>
      <c r="K22">
        <v>11</v>
      </c>
      <c r="L22">
        <v>11</v>
      </c>
      <c r="M22">
        <v>11</v>
      </c>
      <c r="N22">
        <v>11</v>
      </c>
      <c r="O22">
        <v>11</v>
      </c>
      <c r="P22">
        <v>11</v>
      </c>
      <c r="Q22">
        <v>11</v>
      </c>
      <c r="R22">
        <v>11</v>
      </c>
      <c r="S22">
        <v>11</v>
      </c>
      <c r="T22">
        <v>11</v>
      </c>
      <c r="U22">
        <v>11</v>
      </c>
      <c r="V22">
        <v>11</v>
      </c>
      <c r="W22">
        <v>11</v>
      </c>
      <c r="X22">
        <v>11</v>
      </c>
      <c r="Y22">
        <v>5</v>
      </c>
    </row>
    <row r="23" spans="1:25">
      <c r="A23">
        <v>13</v>
      </c>
      <c r="B23">
        <v>13</v>
      </c>
      <c r="C23">
        <v>13</v>
      </c>
      <c r="D23">
        <v>13</v>
      </c>
      <c r="E23">
        <v>13</v>
      </c>
      <c r="F23">
        <v>13</v>
      </c>
      <c r="G23">
        <v>13</v>
      </c>
      <c r="H23">
        <v>13</v>
      </c>
      <c r="I23">
        <v>13</v>
      </c>
      <c r="J23">
        <v>13</v>
      </c>
      <c r="K23">
        <v>13</v>
      </c>
      <c r="L23">
        <v>13</v>
      </c>
      <c r="M23">
        <v>13</v>
      </c>
      <c r="N23">
        <v>13</v>
      </c>
      <c r="O23">
        <v>13</v>
      </c>
      <c r="P23">
        <v>13</v>
      </c>
      <c r="Q23">
        <v>13</v>
      </c>
      <c r="R23">
        <v>13</v>
      </c>
      <c r="S23">
        <v>13</v>
      </c>
      <c r="T23">
        <v>13</v>
      </c>
      <c r="U23">
        <v>13</v>
      </c>
      <c r="V23">
        <v>13</v>
      </c>
      <c r="W23">
        <v>13</v>
      </c>
      <c r="X23">
        <v>13</v>
      </c>
      <c r="Y23">
        <v>6</v>
      </c>
    </row>
    <row r="24" spans="1:25">
      <c r="A24">
        <v>16</v>
      </c>
      <c r="B24">
        <v>16</v>
      </c>
      <c r="C24">
        <v>16</v>
      </c>
      <c r="D24">
        <v>16</v>
      </c>
      <c r="E24">
        <v>16</v>
      </c>
      <c r="F24">
        <v>16</v>
      </c>
      <c r="G24">
        <v>16</v>
      </c>
      <c r="H24">
        <v>16</v>
      </c>
      <c r="I24">
        <v>16</v>
      </c>
      <c r="J24">
        <v>16</v>
      </c>
      <c r="K24">
        <v>16</v>
      </c>
      <c r="L24">
        <v>16</v>
      </c>
      <c r="M24">
        <v>16</v>
      </c>
      <c r="N24">
        <v>16</v>
      </c>
      <c r="O24">
        <v>16</v>
      </c>
      <c r="P24">
        <v>16</v>
      </c>
      <c r="Q24">
        <v>16</v>
      </c>
      <c r="R24">
        <v>16</v>
      </c>
      <c r="S24">
        <v>16</v>
      </c>
      <c r="T24">
        <v>16</v>
      </c>
      <c r="U24">
        <v>16</v>
      </c>
      <c r="V24">
        <v>16</v>
      </c>
      <c r="W24">
        <v>16</v>
      </c>
      <c r="X24">
        <v>16</v>
      </c>
      <c r="Y24">
        <v>7</v>
      </c>
    </row>
    <row r="25" spans="1:25">
      <c r="A25">
        <v>19</v>
      </c>
      <c r="B25">
        <v>19</v>
      </c>
      <c r="C25">
        <v>19</v>
      </c>
      <c r="D25">
        <v>19</v>
      </c>
      <c r="E25">
        <v>19</v>
      </c>
      <c r="F25">
        <v>19</v>
      </c>
      <c r="G25">
        <v>19</v>
      </c>
      <c r="H25">
        <v>19</v>
      </c>
      <c r="I25">
        <v>19</v>
      </c>
      <c r="J25">
        <v>19</v>
      </c>
      <c r="K25">
        <v>19</v>
      </c>
      <c r="L25">
        <v>19</v>
      </c>
      <c r="M25">
        <v>19</v>
      </c>
      <c r="N25">
        <v>19</v>
      </c>
      <c r="O25">
        <v>19</v>
      </c>
      <c r="P25">
        <v>19</v>
      </c>
      <c r="Q25">
        <v>19</v>
      </c>
      <c r="R25">
        <v>19</v>
      </c>
      <c r="S25">
        <v>19</v>
      </c>
      <c r="T25">
        <v>19</v>
      </c>
      <c r="U25">
        <v>19</v>
      </c>
      <c r="V25">
        <v>19</v>
      </c>
      <c r="W25">
        <v>19</v>
      </c>
      <c r="X25">
        <v>19</v>
      </c>
      <c r="Y25">
        <v>8</v>
      </c>
    </row>
    <row r="26" spans="1:25">
      <c r="A26">
        <v>22</v>
      </c>
      <c r="B26">
        <v>22</v>
      </c>
      <c r="C26">
        <v>22</v>
      </c>
      <c r="D26">
        <v>22</v>
      </c>
      <c r="E26">
        <v>22</v>
      </c>
      <c r="F26">
        <v>22</v>
      </c>
      <c r="G26">
        <v>22</v>
      </c>
      <c r="H26">
        <v>22</v>
      </c>
      <c r="I26">
        <v>22</v>
      </c>
      <c r="J26">
        <v>22</v>
      </c>
      <c r="K26">
        <v>22</v>
      </c>
      <c r="L26">
        <v>22</v>
      </c>
      <c r="M26">
        <v>22</v>
      </c>
      <c r="N26">
        <v>22</v>
      </c>
      <c r="O26">
        <v>22</v>
      </c>
      <c r="P26">
        <v>22</v>
      </c>
      <c r="Q26">
        <v>22</v>
      </c>
      <c r="R26">
        <v>22</v>
      </c>
      <c r="S26">
        <v>22</v>
      </c>
      <c r="T26">
        <v>22</v>
      </c>
      <c r="U26">
        <v>22</v>
      </c>
      <c r="V26">
        <v>22</v>
      </c>
      <c r="W26">
        <v>22</v>
      </c>
      <c r="X26">
        <v>22</v>
      </c>
      <c r="Y26">
        <v>9</v>
      </c>
    </row>
    <row r="27" spans="1:25">
      <c r="A27">
        <v>25</v>
      </c>
      <c r="B27">
        <v>25</v>
      </c>
      <c r="C27">
        <v>25</v>
      </c>
      <c r="D27">
        <v>25</v>
      </c>
      <c r="E27">
        <v>25</v>
      </c>
      <c r="F27">
        <v>25</v>
      </c>
      <c r="G27">
        <v>25</v>
      </c>
      <c r="H27">
        <v>25</v>
      </c>
      <c r="I27">
        <v>25</v>
      </c>
      <c r="J27">
        <v>25</v>
      </c>
      <c r="K27">
        <v>25</v>
      </c>
      <c r="L27">
        <v>25</v>
      </c>
      <c r="M27">
        <v>25</v>
      </c>
      <c r="N27">
        <v>25</v>
      </c>
      <c r="O27">
        <v>25</v>
      </c>
      <c r="P27">
        <v>25</v>
      </c>
      <c r="Q27">
        <v>25</v>
      </c>
      <c r="R27">
        <v>25</v>
      </c>
      <c r="S27">
        <v>25</v>
      </c>
      <c r="T27">
        <v>25</v>
      </c>
      <c r="U27">
        <v>25</v>
      </c>
      <c r="V27">
        <v>25</v>
      </c>
      <c r="W27">
        <v>25</v>
      </c>
      <c r="X27">
        <v>25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Y27"/>
  <sheetViews>
    <sheetView workbookViewId="0">
      <selection activeCell="M32" sqref="M32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>
        <v>3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3</v>
      </c>
      <c r="X5">
        <v>3</v>
      </c>
      <c r="Y5">
        <v>2</v>
      </c>
    </row>
    <row r="6" spans="1:25">
      <c r="A6">
        <v>6</v>
      </c>
      <c r="B6">
        <v>6</v>
      </c>
      <c r="C6">
        <v>6</v>
      </c>
      <c r="D6">
        <v>6</v>
      </c>
      <c r="E6">
        <v>6</v>
      </c>
      <c r="F6">
        <v>6</v>
      </c>
      <c r="G6">
        <v>6</v>
      </c>
      <c r="H6">
        <v>6</v>
      </c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>
        <v>6</v>
      </c>
      <c r="P6">
        <v>6</v>
      </c>
      <c r="Q6">
        <v>6</v>
      </c>
      <c r="R6">
        <v>6</v>
      </c>
      <c r="S6">
        <v>6</v>
      </c>
      <c r="T6">
        <v>6</v>
      </c>
      <c r="U6">
        <v>6</v>
      </c>
      <c r="V6">
        <v>6</v>
      </c>
      <c r="W6">
        <v>6</v>
      </c>
      <c r="X6">
        <v>6</v>
      </c>
      <c r="Y6">
        <v>3</v>
      </c>
    </row>
    <row r="7" spans="1:25">
      <c r="A7">
        <v>9</v>
      </c>
      <c r="B7">
        <v>9</v>
      </c>
      <c r="C7">
        <v>9</v>
      </c>
      <c r="D7">
        <v>9</v>
      </c>
      <c r="E7">
        <v>9</v>
      </c>
      <c r="F7">
        <v>9</v>
      </c>
      <c r="G7">
        <v>9</v>
      </c>
      <c r="H7">
        <v>9</v>
      </c>
      <c r="I7">
        <v>9</v>
      </c>
      <c r="J7">
        <v>9</v>
      </c>
      <c r="K7">
        <v>9</v>
      </c>
      <c r="L7">
        <v>9</v>
      </c>
      <c r="M7">
        <v>9</v>
      </c>
      <c r="N7">
        <v>9</v>
      </c>
      <c r="O7">
        <v>9</v>
      </c>
      <c r="P7">
        <v>9</v>
      </c>
      <c r="Q7">
        <v>9</v>
      </c>
      <c r="R7">
        <v>9</v>
      </c>
      <c r="S7">
        <v>9</v>
      </c>
      <c r="T7">
        <v>9</v>
      </c>
      <c r="U7">
        <v>9</v>
      </c>
      <c r="V7">
        <v>9</v>
      </c>
      <c r="W7">
        <v>9</v>
      </c>
      <c r="X7">
        <v>9</v>
      </c>
      <c r="Y7">
        <v>4</v>
      </c>
    </row>
    <row r="8" spans="1:25">
      <c r="A8">
        <v>12</v>
      </c>
      <c r="B8">
        <v>12</v>
      </c>
      <c r="C8">
        <v>12</v>
      </c>
      <c r="D8">
        <v>12</v>
      </c>
      <c r="E8">
        <v>12</v>
      </c>
      <c r="F8">
        <v>12</v>
      </c>
      <c r="G8">
        <v>12</v>
      </c>
      <c r="H8">
        <v>12</v>
      </c>
      <c r="I8">
        <v>12</v>
      </c>
      <c r="J8">
        <v>12</v>
      </c>
      <c r="K8">
        <v>12</v>
      </c>
      <c r="L8">
        <v>12</v>
      </c>
      <c r="M8">
        <v>12</v>
      </c>
      <c r="N8">
        <v>12</v>
      </c>
      <c r="O8">
        <v>12</v>
      </c>
      <c r="P8">
        <v>12</v>
      </c>
      <c r="Q8">
        <v>12</v>
      </c>
      <c r="R8">
        <v>12</v>
      </c>
      <c r="S8">
        <v>12</v>
      </c>
      <c r="T8">
        <v>12</v>
      </c>
      <c r="U8">
        <v>12</v>
      </c>
      <c r="V8">
        <v>12</v>
      </c>
      <c r="W8">
        <v>12</v>
      </c>
      <c r="X8">
        <v>12</v>
      </c>
      <c r="Y8">
        <v>5</v>
      </c>
    </row>
    <row r="9" spans="1:25">
      <c r="A9">
        <v>15</v>
      </c>
      <c r="B9">
        <v>15</v>
      </c>
      <c r="C9">
        <v>15</v>
      </c>
      <c r="D9">
        <v>15</v>
      </c>
      <c r="E9">
        <v>15</v>
      </c>
      <c r="F9">
        <v>15</v>
      </c>
      <c r="G9">
        <v>15</v>
      </c>
      <c r="H9">
        <v>15</v>
      </c>
      <c r="I9">
        <v>15</v>
      </c>
      <c r="J9">
        <v>15</v>
      </c>
      <c r="K9">
        <v>15</v>
      </c>
      <c r="L9">
        <v>15</v>
      </c>
      <c r="M9">
        <v>15</v>
      </c>
      <c r="N9">
        <v>15</v>
      </c>
      <c r="O9">
        <v>15</v>
      </c>
      <c r="P9">
        <v>15</v>
      </c>
      <c r="Q9">
        <v>15</v>
      </c>
      <c r="R9">
        <v>15</v>
      </c>
      <c r="S9">
        <v>15</v>
      </c>
      <c r="T9">
        <v>15</v>
      </c>
      <c r="U9">
        <v>15</v>
      </c>
      <c r="V9">
        <v>15</v>
      </c>
      <c r="W9">
        <v>15</v>
      </c>
      <c r="X9">
        <v>15</v>
      </c>
      <c r="Y9">
        <v>6</v>
      </c>
    </row>
    <row r="10" spans="1:25">
      <c r="A10">
        <v>18</v>
      </c>
      <c r="B10">
        <v>18</v>
      </c>
      <c r="C10">
        <v>18</v>
      </c>
      <c r="D10">
        <v>18</v>
      </c>
      <c r="E10">
        <v>18</v>
      </c>
      <c r="F10">
        <v>18</v>
      </c>
      <c r="G10">
        <v>18</v>
      </c>
      <c r="H10">
        <v>18</v>
      </c>
      <c r="I10">
        <v>18</v>
      </c>
      <c r="J10">
        <v>18</v>
      </c>
      <c r="K10">
        <v>18</v>
      </c>
      <c r="L10">
        <v>18</v>
      </c>
      <c r="M10">
        <v>18</v>
      </c>
      <c r="N10">
        <v>18</v>
      </c>
      <c r="O10">
        <v>18</v>
      </c>
      <c r="P10">
        <v>18</v>
      </c>
      <c r="Q10">
        <v>18</v>
      </c>
      <c r="R10">
        <v>18</v>
      </c>
      <c r="S10">
        <v>18</v>
      </c>
      <c r="T10">
        <v>18</v>
      </c>
      <c r="U10">
        <v>18</v>
      </c>
      <c r="V10">
        <v>18</v>
      </c>
      <c r="W10">
        <v>18</v>
      </c>
      <c r="X10">
        <v>18</v>
      </c>
      <c r="Y10">
        <v>7</v>
      </c>
    </row>
    <row r="11" spans="1:25">
      <c r="A11">
        <v>20</v>
      </c>
      <c r="B11">
        <v>20</v>
      </c>
      <c r="C11">
        <v>20</v>
      </c>
      <c r="D11">
        <v>20</v>
      </c>
      <c r="E11">
        <v>20</v>
      </c>
      <c r="F11">
        <v>20</v>
      </c>
      <c r="G11">
        <v>20</v>
      </c>
      <c r="H11">
        <v>20</v>
      </c>
      <c r="I11">
        <v>20</v>
      </c>
      <c r="J11">
        <v>20</v>
      </c>
      <c r="K11">
        <v>20</v>
      </c>
      <c r="L11">
        <v>20</v>
      </c>
      <c r="M11">
        <v>20</v>
      </c>
      <c r="N11">
        <v>20</v>
      </c>
      <c r="O11">
        <v>20</v>
      </c>
      <c r="P11">
        <v>20</v>
      </c>
      <c r="Q11">
        <v>20</v>
      </c>
      <c r="R11">
        <v>20</v>
      </c>
      <c r="S11">
        <v>20</v>
      </c>
      <c r="T11">
        <v>20</v>
      </c>
      <c r="U11">
        <v>20</v>
      </c>
      <c r="V11">
        <v>20</v>
      </c>
      <c r="W11">
        <v>20</v>
      </c>
      <c r="X11">
        <v>20</v>
      </c>
      <c r="Y11">
        <v>8</v>
      </c>
    </row>
    <row r="12" spans="1:25">
      <c r="A12">
        <v>23</v>
      </c>
      <c r="B12">
        <v>23</v>
      </c>
      <c r="C12">
        <v>23</v>
      </c>
      <c r="D12">
        <v>23</v>
      </c>
      <c r="E12">
        <v>23</v>
      </c>
      <c r="F12">
        <v>23</v>
      </c>
      <c r="G12">
        <v>23</v>
      </c>
      <c r="H12">
        <v>23</v>
      </c>
      <c r="I12">
        <v>23</v>
      </c>
      <c r="J12">
        <v>23</v>
      </c>
      <c r="K12">
        <v>23</v>
      </c>
      <c r="L12">
        <v>23</v>
      </c>
      <c r="M12">
        <v>23</v>
      </c>
      <c r="N12">
        <v>23</v>
      </c>
      <c r="O12">
        <v>23</v>
      </c>
      <c r="P12">
        <v>23</v>
      </c>
      <c r="Q12">
        <v>23</v>
      </c>
      <c r="R12">
        <v>23</v>
      </c>
      <c r="S12">
        <v>23</v>
      </c>
      <c r="T12">
        <v>23</v>
      </c>
      <c r="U12">
        <v>23</v>
      </c>
      <c r="V12">
        <v>23</v>
      </c>
      <c r="W12">
        <v>23</v>
      </c>
      <c r="X12">
        <v>23</v>
      </c>
      <c r="Y12">
        <v>9</v>
      </c>
    </row>
    <row r="13" spans="1:25">
      <c r="A13">
        <v>26</v>
      </c>
      <c r="B13">
        <v>26</v>
      </c>
      <c r="C13">
        <v>26</v>
      </c>
      <c r="D13">
        <v>26</v>
      </c>
      <c r="E13">
        <v>26</v>
      </c>
      <c r="F13">
        <v>26</v>
      </c>
      <c r="G13">
        <v>26</v>
      </c>
      <c r="H13">
        <v>26</v>
      </c>
      <c r="I13">
        <v>26</v>
      </c>
      <c r="J13">
        <v>26</v>
      </c>
      <c r="K13">
        <v>26</v>
      </c>
      <c r="L13">
        <v>26</v>
      </c>
      <c r="M13">
        <v>26</v>
      </c>
      <c r="N13">
        <v>26</v>
      </c>
      <c r="O13">
        <v>26</v>
      </c>
      <c r="P13">
        <v>26</v>
      </c>
      <c r="Q13">
        <v>26</v>
      </c>
      <c r="R13">
        <v>26</v>
      </c>
      <c r="S13">
        <v>26</v>
      </c>
      <c r="T13">
        <v>26</v>
      </c>
      <c r="U13">
        <v>26</v>
      </c>
      <c r="V13">
        <v>26</v>
      </c>
      <c r="W13">
        <v>26</v>
      </c>
      <c r="X13">
        <v>26</v>
      </c>
      <c r="Y13">
        <v>10</v>
      </c>
    </row>
    <row r="15" spans="1:25">
      <c r="A15" t="s">
        <v>21</v>
      </c>
    </row>
    <row r="16" spans="1:25">
      <c r="Y16" t="s">
        <v>16</v>
      </c>
    </row>
    <row r="17" spans="1:25">
      <c r="Y17">
        <v>0</v>
      </c>
    </row>
    <row r="18" spans="1: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>
        <v>3</v>
      </c>
      <c r="B19">
        <v>3</v>
      </c>
      <c r="C19">
        <v>3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3</v>
      </c>
      <c r="R19">
        <v>3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2</v>
      </c>
    </row>
    <row r="20" spans="1:25">
      <c r="A20">
        <v>6</v>
      </c>
      <c r="B20">
        <v>6</v>
      </c>
      <c r="C20">
        <v>6</v>
      </c>
      <c r="D20">
        <v>6</v>
      </c>
      <c r="E20">
        <v>6</v>
      </c>
      <c r="F20">
        <v>6</v>
      </c>
      <c r="G20">
        <v>6</v>
      </c>
      <c r="H20">
        <v>6</v>
      </c>
      <c r="I20">
        <v>6</v>
      </c>
      <c r="J20">
        <v>6</v>
      </c>
      <c r="K20">
        <v>6</v>
      </c>
      <c r="L20">
        <v>6</v>
      </c>
      <c r="M20">
        <v>6</v>
      </c>
      <c r="N20">
        <v>6</v>
      </c>
      <c r="O20">
        <v>6</v>
      </c>
      <c r="P20">
        <v>6</v>
      </c>
      <c r="Q20">
        <v>6</v>
      </c>
      <c r="R20">
        <v>6</v>
      </c>
      <c r="S20">
        <v>6</v>
      </c>
      <c r="T20">
        <v>6</v>
      </c>
      <c r="U20">
        <v>6</v>
      </c>
      <c r="V20">
        <v>6</v>
      </c>
      <c r="W20">
        <v>6</v>
      </c>
      <c r="X20">
        <v>6</v>
      </c>
      <c r="Y20">
        <v>3</v>
      </c>
    </row>
    <row r="21" spans="1:25">
      <c r="A21">
        <v>9</v>
      </c>
      <c r="B21">
        <v>9</v>
      </c>
      <c r="C21">
        <v>9</v>
      </c>
      <c r="D21">
        <v>9</v>
      </c>
      <c r="E21">
        <v>9</v>
      </c>
      <c r="F21">
        <v>9</v>
      </c>
      <c r="G21">
        <v>9</v>
      </c>
      <c r="H21">
        <v>9</v>
      </c>
      <c r="I21">
        <v>9</v>
      </c>
      <c r="J21">
        <v>9</v>
      </c>
      <c r="K21">
        <v>9</v>
      </c>
      <c r="L21">
        <v>9</v>
      </c>
      <c r="M21">
        <v>9</v>
      </c>
      <c r="N21">
        <v>9</v>
      </c>
      <c r="O21">
        <v>9</v>
      </c>
      <c r="P21">
        <v>9</v>
      </c>
      <c r="Q21">
        <v>9</v>
      </c>
      <c r="R21">
        <v>9</v>
      </c>
      <c r="S21">
        <v>9</v>
      </c>
      <c r="T21">
        <v>9</v>
      </c>
      <c r="U21">
        <v>9</v>
      </c>
      <c r="V21">
        <v>9</v>
      </c>
      <c r="W21">
        <v>9</v>
      </c>
      <c r="X21">
        <v>9</v>
      </c>
      <c r="Y21">
        <v>4</v>
      </c>
    </row>
    <row r="22" spans="1:25">
      <c r="A22">
        <v>12</v>
      </c>
      <c r="B22">
        <v>12</v>
      </c>
      <c r="C22">
        <v>12</v>
      </c>
      <c r="D22">
        <v>12</v>
      </c>
      <c r="E22">
        <v>12</v>
      </c>
      <c r="F22">
        <v>12</v>
      </c>
      <c r="G22">
        <v>12</v>
      </c>
      <c r="H22">
        <v>12</v>
      </c>
      <c r="I22">
        <v>12</v>
      </c>
      <c r="J22">
        <v>12</v>
      </c>
      <c r="K22">
        <v>12</v>
      </c>
      <c r="L22">
        <v>12</v>
      </c>
      <c r="M22">
        <v>12</v>
      </c>
      <c r="N22">
        <v>12</v>
      </c>
      <c r="O22">
        <v>12</v>
      </c>
      <c r="P22">
        <v>12</v>
      </c>
      <c r="Q22">
        <v>12</v>
      </c>
      <c r="R22">
        <v>12</v>
      </c>
      <c r="S22">
        <v>12</v>
      </c>
      <c r="T22">
        <v>12</v>
      </c>
      <c r="U22">
        <v>12</v>
      </c>
      <c r="V22">
        <v>12</v>
      </c>
      <c r="W22">
        <v>12</v>
      </c>
      <c r="X22">
        <v>12</v>
      </c>
      <c r="Y22">
        <v>5</v>
      </c>
    </row>
    <row r="23" spans="1:25">
      <c r="A23">
        <v>14</v>
      </c>
      <c r="B23">
        <v>14</v>
      </c>
      <c r="C23">
        <v>14</v>
      </c>
      <c r="D23">
        <v>14</v>
      </c>
      <c r="E23">
        <v>14</v>
      </c>
      <c r="F23">
        <v>14</v>
      </c>
      <c r="G23">
        <v>14</v>
      </c>
      <c r="H23">
        <v>14</v>
      </c>
      <c r="I23">
        <v>14</v>
      </c>
      <c r="J23">
        <v>14</v>
      </c>
      <c r="K23">
        <v>14</v>
      </c>
      <c r="L23">
        <v>14</v>
      </c>
      <c r="M23">
        <v>14</v>
      </c>
      <c r="N23">
        <v>14</v>
      </c>
      <c r="O23">
        <v>14</v>
      </c>
      <c r="P23">
        <v>14</v>
      </c>
      <c r="Q23">
        <v>14</v>
      </c>
      <c r="R23">
        <v>14</v>
      </c>
      <c r="S23">
        <v>14</v>
      </c>
      <c r="T23">
        <v>14</v>
      </c>
      <c r="U23">
        <v>14</v>
      </c>
      <c r="V23">
        <v>14</v>
      </c>
      <c r="W23">
        <v>14</v>
      </c>
      <c r="X23">
        <v>14</v>
      </c>
      <c r="Y23">
        <v>6</v>
      </c>
    </row>
    <row r="24" spans="1:25">
      <c r="A24">
        <v>16</v>
      </c>
      <c r="B24">
        <v>16</v>
      </c>
      <c r="C24">
        <v>16</v>
      </c>
      <c r="D24">
        <v>16</v>
      </c>
      <c r="E24">
        <v>16</v>
      </c>
      <c r="F24">
        <v>16</v>
      </c>
      <c r="G24">
        <v>16</v>
      </c>
      <c r="H24">
        <v>16</v>
      </c>
      <c r="I24">
        <v>16</v>
      </c>
      <c r="J24">
        <v>16</v>
      </c>
      <c r="K24">
        <v>16</v>
      </c>
      <c r="L24">
        <v>16</v>
      </c>
      <c r="M24">
        <v>16</v>
      </c>
      <c r="N24">
        <v>16</v>
      </c>
      <c r="O24">
        <v>16</v>
      </c>
      <c r="P24">
        <v>16</v>
      </c>
      <c r="Q24">
        <v>16</v>
      </c>
      <c r="R24">
        <v>16</v>
      </c>
      <c r="S24">
        <v>16</v>
      </c>
      <c r="T24">
        <v>16</v>
      </c>
      <c r="U24">
        <v>16</v>
      </c>
      <c r="V24">
        <v>16</v>
      </c>
      <c r="W24">
        <v>16</v>
      </c>
      <c r="X24">
        <v>16</v>
      </c>
      <c r="Y24">
        <v>7</v>
      </c>
    </row>
    <row r="25" spans="1:25">
      <c r="A25">
        <v>18</v>
      </c>
      <c r="B25">
        <v>18</v>
      </c>
      <c r="C25">
        <v>18</v>
      </c>
      <c r="D25">
        <v>18</v>
      </c>
      <c r="E25">
        <v>18</v>
      </c>
      <c r="F25">
        <v>18</v>
      </c>
      <c r="G25">
        <v>18</v>
      </c>
      <c r="H25">
        <v>18</v>
      </c>
      <c r="I25">
        <v>18</v>
      </c>
      <c r="J25">
        <v>18</v>
      </c>
      <c r="K25">
        <v>18</v>
      </c>
      <c r="L25">
        <v>18</v>
      </c>
      <c r="M25">
        <v>18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8</v>
      </c>
    </row>
    <row r="26" spans="1:25">
      <c r="A26">
        <v>20</v>
      </c>
      <c r="B26">
        <v>20</v>
      </c>
      <c r="C26">
        <v>20</v>
      </c>
      <c r="D26">
        <v>20</v>
      </c>
      <c r="E26">
        <v>20</v>
      </c>
      <c r="F26">
        <v>20</v>
      </c>
      <c r="G26">
        <v>20</v>
      </c>
      <c r="H26">
        <v>20</v>
      </c>
      <c r="I26">
        <v>20</v>
      </c>
      <c r="J26">
        <v>20</v>
      </c>
      <c r="K26">
        <v>20</v>
      </c>
      <c r="L26">
        <v>20</v>
      </c>
      <c r="M26">
        <v>20</v>
      </c>
      <c r="N26">
        <v>20</v>
      </c>
      <c r="O26">
        <v>20</v>
      </c>
      <c r="P26">
        <v>20</v>
      </c>
      <c r="Q26">
        <v>20</v>
      </c>
      <c r="R26">
        <v>20</v>
      </c>
      <c r="S26">
        <v>20</v>
      </c>
      <c r="T26">
        <v>20</v>
      </c>
      <c r="U26">
        <v>20</v>
      </c>
      <c r="V26">
        <v>20</v>
      </c>
      <c r="W26">
        <v>20</v>
      </c>
      <c r="X26">
        <v>20</v>
      </c>
      <c r="Y26">
        <v>9</v>
      </c>
    </row>
    <row r="27" spans="1:25">
      <c r="A27">
        <v>23</v>
      </c>
      <c r="B27">
        <v>23</v>
      </c>
      <c r="C27">
        <v>23</v>
      </c>
      <c r="D27">
        <v>23</v>
      </c>
      <c r="E27">
        <v>23</v>
      </c>
      <c r="F27">
        <v>23</v>
      </c>
      <c r="G27">
        <v>23</v>
      </c>
      <c r="H27">
        <v>23</v>
      </c>
      <c r="I27">
        <v>23</v>
      </c>
      <c r="J27">
        <v>23</v>
      </c>
      <c r="K27">
        <v>23</v>
      </c>
      <c r="L27">
        <v>23</v>
      </c>
      <c r="M27">
        <v>23</v>
      </c>
      <c r="N27">
        <v>23</v>
      </c>
      <c r="O27">
        <v>23</v>
      </c>
      <c r="P27">
        <v>23</v>
      </c>
      <c r="Q27">
        <v>23</v>
      </c>
      <c r="R27">
        <v>23</v>
      </c>
      <c r="S27">
        <v>23</v>
      </c>
      <c r="T27">
        <v>23</v>
      </c>
      <c r="U27">
        <v>23</v>
      </c>
      <c r="V27">
        <v>23</v>
      </c>
      <c r="W27">
        <v>23</v>
      </c>
      <c r="X27">
        <v>23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Y27"/>
  <sheetViews>
    <sheetView topLeftCell="A15" workbookViewId="0">
      <selection activeCell="N31" sqref="N31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>
        <v>15</v>
      </c>
      <c r="B5">
        <v>15</v>
      </c>
      <c r="C5">
        <v>15</v>
      </c>
      <c r="D5">
        <v>15</v>
      </c>
      <c r="E5">
        <v>15</v>
      </c>
      <c r="F5">
        <v>15</v>
      </c>
      <c r="G5">
        <v>15</v>
      </c>
      <c r="H5">
        <v>15</v>
      </c>
      <c r="I5">
        <v>15</v>
      </c>
      <c r="J5">
        <v>15</v>
      </c>
      <c r="K5">
        <v>15</v>
      </c>
      <c r="L5">
        <v>15</v>
      </c>
      <c r="M5">
        <v>15</v>
      </c>
      <c r="N5">
        <v>15</v>
      </c>
      <c r="O5">
        <v>15</v>
      </c>
      <c r="P5">
        <v>15</v>
      </c>
      <c r="Q5">
        <v>15</v>
      </c>
      <c r="R5">
        <v>15</v>
      </c>
      <c r="S5">
        <v>15</v>
      </c>
      <c r="T5">
        <v>15</v>
      </c>
      <c r="U5">
        <v>15</v>
      </c>
      <c r="V5">
        <v>15</v>
      </c>
      <c r="W5">
        <v>15</v>
      </c>
      <c r="X5">
        <v>15</v>
      </c>
      <c r="Y5">
        <v>2</v>
      </c>
    </row>
    <row r="6" spans="1:25">
      <c r="A6">
        <v>19</v>
      </c>
      <c r="B6">
        <v>19</v>
      </c>
      <c r="C6">
        <v>19</v>
      </c>
      <c r="D6">
        <v>19</v>
      </c>
      <c r="E6">
        <v>19</v>
      </c>
      <c r="F6">
        <v>19</v>
      </c>
      <c r="G6">
        <v>19</v>
      </c>
      <c r="H6">
        <v>19</v>
      </c>
      <c r="I6">
        <v>19</v>
      </c>
      <c r="J6">
        <v>19</v>
      </c>
      <c r="K6">
        <v>19</v>
      </c>
      <c r="L6">
        <v>19</v>
      </c>
      <c r="M6">
        <v>19</v>
      </c>
      <c r="N6">
        <v>19</v>
      </c>
      <c r="O6">
        <v>19</v>
      </c>
      <c r="P6">
        <v>19</v>
      </c>
      <c r="Q6">
        <v>19</v>
      </c>
      <c r="R6">
        <v>19</v>
      </c>
      <c r="S6">
        <v>19</v>
      </c>
      <c r="T6">
        <v>19</v>
      </c>
      <c r="U6">
        <v>19</v>
      </c>
      <c r="V6">
        <v>19</v>
      </c>
      <c r="W6">
        <v>19</v>
      </c>
      <c r="X6">
        <v>19</v>
      </c>
      <c r="Y6">
        <v>3</v>
      </c>
    </row>
    <row r="7" spans="1:25">
      <c r="A7">
        <v>23</v>
      </c>
      <c r="B7">
        <v>23</v>
      </c>
      <c r="C7">
        <v>23</v>
      </c>
      <c r="D7">
        <v>23</v>
      </c>
      <c r="E7">
        <v>23</v>
      </c>
      <c r="F7">
        <v>23</v>
      </c>
      <c r="G7">
        <v>23</v>
      </c>
      <c r="H7">
        <v>23</v>
      </c>
      <c r="I7">
        <v>23</v>
      </c>
      <c r="J7">
        <v>23</v>
      </c>
      <c r="K7">
        <v>23</v>
      </c>
      <c r="L7">
        <v>23</v>
      </c>
      <c r="M7">
        <v>23</v>
      </c>
      <c r="N7">
        <v>23</v>
      </c>
      <c r="O7">
        <v>23</v>
      </c>
      <c r="P7">
        <v>23</v>
      </c>
      <c r="Q7">
        <v>23</v>
      </c>
      <c r="R7">
        <v>23</v>
      </c>
      <c r="S7">
        <v>23</v>
      </c>
      <c r="T7">
        <v>23</v>
      </c>
      <c r="U7">
        <v>23</v>
      </c>
      <c r="V7">
        <v>23</v>
      </c>
      <c r="W7">
        <v>23</v>
      </c>
      <c r="X7">
        <v>23</v>
      </c>
      <c r="Y7">
        <v>4</v>
      </c>
    </row>
    <row r="8" spans="1:25">
      <c r="A8">
        <v>27</v>
      </c>
      <c r="B8">
        <v>27</v>
      </c>
      <c r="C8">
        <v>27</v>
      </c>
      <c r="D8">
        <v>27</v>
      </c>
      <c r="E8">
        <v>27</v>
      </c>
      <c r="F8">
        <v>27</v>
      </c>
      <c r="G8">
        <v>27</v>
      </c>
      <c r="H8">
        <v>27</v>
      </c>
      <c r="I8">
        <v>27</v>
      </c>
      <c r="J8">
        <v>27</v>
      </c>
      <c r="K8">
        <v>27</v>
      </c>
      <c r="L8">
        <v>27</v>
      </c>
      <c r="M8">
        <v>27</v>
      </c>
      <c r="N8">
        <v>27</v>
      </c>
      <c r="O8">
        <v>27</v>
      </c>
      <c r="P8">
        <v>27</v>
      </c>
      <c r="Q8">
        <v>27</v>
      </c>
      <c r="R8">
        <v>27</v>
      </c>
      <c r="S8">
        <v>27</v>
      </c>
      <c r="T8">
        <v>27</v>
      </c>
      <c r="U8">
        <v>27</v>
      </c>
      <c r="V8">
        <v>27</v>
      </c>
      <c r="W8">
        <v>27</v>
      </c>
      <c r="X8">
        <v>27</v>
      </c>
      <c r="Y8">
        <v>5</v>
      </c>
    </row>
    <row r="9" spans="1:25">
      <c r="A9">
        <v>30</v>
      </c>
      <c r="B9">
        <v>30</v>
      </c>
      <c r="C9">
        <v>30</v>
      </c>
      <c r="D9">
        <v>30</v>
      </c>
      <c r="E9">
        <v>30</v>
      </c>
      <c r="F9">
        <v>30</v>
      </c>
      <c r="G9">
        <v>30</v>
      </c>
      <c r="H9">
        <v>30</v>
      </c>
      <c r="I9">
        <v>30</v>
      </c>
      <c r="J9">
        <v>30</v>
      </c>
      <c r="K9">
        <v>30</v>
      </c>
      <c r="L9">
        <v>30</v>
      </c>
      <c r="M9">
        <v>30</v>
      </c>
      <c r="N9">
        <v>30</v>
      </c>
      <c r="O9">
        <v>30</v>
      </c>
      <c r="P9">
        <v>30</v>
      </c>
      <c r="Q9">
        <v>30</v>
      </c>
      <c r="R9">
        <v>30</v>
      </c>
      <c r="S9">
        <v>30</v>
      </c>
      <c r="T9">
        <v>30</v>
      </c>
      <c r="U9">
        <v>30</v>
      </c>
      <c r="V9">
        <v>30</v>
      </c>
      <c r="W9">
        <v>30</v>
      </c>
      <c r="X9">
        <v>30</v>
      </c>
      <c r="Y9">
        <v>6</v>
      </c>
    </row>
    <row r="10" spans="1:25">
      <c r="A10">
        <v>34</v>
      </c>
      <c r="B10">
        <v>34</v>
      </c>
      <c r="C10">
        <v>34</v>
      </c>
      <c r="D10">
        <v>34</v>
      </c>
      <c r="E10">
        <v>34</v>
      </c>
      <c r="F10">
        <v>34</v>
      </c>
      <c r="G10">
        <v>34</v>
      </c>
      <c r="H10">
        <v>34</v>
      </c>
      <c r="I10">
        <v>34</v>
      </c>
      <c r="J10">
        <v>34</v>
      </c>
      <c r="K10">
        <v>34</v>
      </c>
      <c r="L10">
        <v>34</v>
      </c>
      <c r="M10">
        <v>34</v>
      </c>
      <c r="N10">
        <v>34</v>
      </c>
      <c r="O10">
        <v>34</v>
      </c>
      <c r="P10">
        <v>34</v>
      </c>
      <c r="Q10">
        <v>34</v>
      </c>
      <c r="R10">
        <v>34</v>
      </c>
      <c r="S10">
        <v>34</v>
      </c>
      <c r="T10">
        <v>34</v>
      </c>
      <c r="U10">
        <v>34</v>
      </c>
      <c r="V10">
        <v>34</v>
      </c>
      <c r="W10">
        <v>34</v>
      </c>
      <c r="X10">
        <v>34</v>
      </c>
      <c r="Y10">
        <v>7</v>
      </c>
    </row>
    <row r="11" spans="1:25">
      <c r="A11">
        <v>38</v>
      </c>
      <c r="B11">
        <v>38</v>
      </c>
      <c r="C11">
        <v>38</v>
      </c>
      <c r="D11">
        <v>38</v>
      </c>
      <c r="E11">
        <v>38</v>
      </c>
      <c r="F11">
        <v>38</v>
      </c>
      <c r="G11">
        <v>38</v>
      </c>
      <c r="H11">
        <v>38</v>
      </c>
      <c r="I11">
        <v>38</v>
      </c>
      <c r="J11">
        <v>38</v>
      </c>
      <c r="K11">
        <v>38</v>
      </c>
      <c r="L11">
        <v>38</v>
      </c>
      <c r="M11">
        <v>38</v>
      </c>
      <c r="N11">
        <v>38</v>
      </c>
      <c r="O11">
        <v>38</v>
      </c>
      <c r="P11">
        <v>38</v>
      </c>
      <c r="Q11">
        <v>38</v>
      </c>
      <c r="R11">
        <v>38</v>
      </c>
      <c r="S11">
        <v>38</v>
      </c>
      <c r="T11">
        <v>38</v>
      </c>
      <c r="U11">
        <v>38</v>
      </c>
      <c r="V11">
        <v>38</v>
      </c>
      <c r="W11">
        <v>38</v>
      </c>
      <c r="X11">
        <v>38</v>
      </c>
      <c r="Y11">
        <v>8</v>
      </c>
    </row>
    <row r="12" spans="1:25">
      <c r="A12">
        <v>43</v>
      </c>
      <c r="B12">
        <v>43</v>
      </c>
      <c r="C12">
        <v>43</v>
      </c>
      <c r="D12">
        <v>43</v>
      </c>
      <c r="E12">
        <v>43</v>
      </c>
      <c r="F12">
        <v>43</v>
      </c>
      <c r="G12">
        <v>43</v>
      </c>
      <c r="H12">
        <v>43</v>
      </c>
      <c r="I12">
        <v>43</v>
      </c>
      <c r="J12">
        <v>43</v>
      </c>
      <c r="K12">
        <v>43</v>
      </c>
      <c r="L12">
        <v>43</v>
      </c>
      <c r="M12">
        <v>43</v>
      </c>
      <c r="N12">
        <v>43</v>
      </c>
      <c r="O12">
        <v>43</v>
      </c>
      <c r="P12">
        <v>43</v>
      </c>
      <c r="Q12">
        <v>43</v>
      </c>
      <c r="R12">
        <v>43</v>
      </c>
      <c r="S12">
        <v>43</v>
      </c>
      <c r="T12">
        <v>43</v>
      </c>
      <c r="U12">
        <v>43</v>
      </c>
      <c r="V12">
        <v>43</v>
      </c>
      <c r="W12">
        <v>43</v>
      </c>
      <c r="X12">
        <v>43</v>
      </c>
      <c r="Y12">
        <v>9</v>
      </c>
    </row>
    <row r="13" spans="1:25">
      <c r="A13">
        <v>49</v>
      </c>
      <c r="B13">
        <v>49</v>
      </c>
      <c r="C13">
        <v>49</v>
      </c>
      <c r="D13">
        <v>49</v>
      </c>
      <c r="E13">
        <v>49</v>
      </c>
      <c r="F13">
        <v>49</v>
      </c>
      <c r="G13">
        <v>49</v>
      </c>
      <c r="H13">
        <v>49</v>
      </c>
      <c r="I13">
        <v>49</v>
      </c>
      <c r="J13">
        <v>49</v>
      </c>
      <c r="K13">
        <v>49</v>
      </c>
      <c r="L13">
        <v>49</v>
      </c>
      <c r="M13">
        <v>49</v>
      </c>
      <c r="N13">
        <v>49</v>
      </c>
      <c r="O13">
        <v>49</v>
      </c>
      <c r="P13">
        <v>49</v>
      </c>
      <c r="Q13">
        <v>49</v>
      </c>
      <c r="R13">
        <v>49</v>
      </c>
      <c r="S13">
        <v>49</v>
      </c>
      <c r="T13">
        <v>49</v>
      </c>
      <c r="U13">
        <v>49</v>
      </c>
      <c r="V13">
        <v>49</v>
      </c>
      <c r="W13">
        <v>49</v>
      </c>
      <c r="X13">
        <v>49</v>
      </c>
      <c r="Y13">
        <v>10</v>
      </c>
    </row>
    <row r="15" spans="1:25">
      <c r="A15" t="s">
        <v>21</v>
      </c>
    </row>
    <row r="16" spans="1:25">
      <c r="Y16" t="s">
        <v>16</v>
      </c>
    </row>
    <row r="17" spans="1:25">
      <c r="Y17">
        <v>0</v>
      </c>
    </row>
    <row r="18" spans="1: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>
        <v>18</v>
      </c>
      <c r="B19">
        <v>18</v>
      </c>
      <c r="C19">
        <v>18</v>
      </c>
      <c r="D19">
        <v>18</v>
      </c>
      <c r="E19">
        <v>18</v>
      </c>
      <c r="F19">
        <v>18</v>
      </c>
      <c r="G19">
        <v>18</v>
      </c>
      <c r="H19">
        <v>18</v>
      </c>
      <c r="I19">
        <v>18</v>
      </c>
      <c r="J19">
        <v>18</v>
      </c>
      <c r="K19">
        <v>18</v>
      </c>
      <c r="L19">
        <v>18</v>
      </c>
      <c r="M19">
        <v>18</v>
      </c>
      <c r="N19">
        <v>18</v>
      </c>
      <c r="O19">
        <v>18</v>
      </c>
      <c r="P19">
        <v>18</v>
      </c>
      <c r="Q19">
        <v>18</v>
      </c>
      <c r="R19">
        <v>18</v>
      </c>
      <c r="S19">
        <v>18</v>
      </c>
      <c r="T19">
        <v>18</v>
      </c>
      <c r="U19">
        <v>18</v>
      </c>
      <c r="V19">
        <v>18</v>
      </c>
      <c r="W19">
        <v>18</v>
      </c>
      <c r="X19">
        <v>18</v>
      </c>
      <c r="Y19">
        <v>2</v>
      </c>
    </row>
    <row r="20" spans="1:25">
      <c r="A20">
        <v>21</v>
      </c>
      <c r="B20">
        <v>21</v>
      </c>
      <c r="C20">
        <v>21</v>
      </c>
      <c r="D20">
        <v>21</v>
      </c>
      <c r="E20">
        <v>21</v>
      </c>
      <c r="F20">
        <v>21</v>
      </c>
      <c r="G20">
        <v>21</v>
      </c>
      <c r="H20">
        <v>21</v>
      </c>
      <c r="I20">
        <v>21</v>
      </c>
      <c r="J20">
        <v>21</v>
      </c>
      <c r="K20">
        <v>21</v>
      </c>
      <c r="L20">
        <v>21</v>
      </c>
      <c r="M20">
        <v>21</v>
      </c>
      <c r="N20">
        <v>21</v>
      </c>
      <c r="O20">
        <v>21</v>
      </c>
      <c r="P20">
        <v>21</v>
      </c>
      <c r="Q20">
        <v>21</v>
      </c>
      <c r="R20">
        <v>21</v>
      </c>
      <c r="S20">
        <v>21</v>
      </c>
      <c r="T20">
        <v>21</v>
      </c>
      <c r="U20">
        <v>21</v>
      </c>
      <c r="V20">
        <v>21</v>
      </c>
      <c r="W20">
        <v>21</v>
      </c>
      <c r="X20">
        <v>21</v>
      </c>
      <c r="Y20">
        <v>3</v>
      </c>
    </row>
    <row r="21" spans="1:25">
      <c r="A21">
        <v>25</v>
      </c>
      <c r="B21">
        <v>25</v>
      </c>
      <c r="C21">
        <v>25</v>
      </c>
      <c r="D21">
        <v>25</v>
      </c>
      <c r="E21">
        <v>25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25</v>
      </c>
      <c r="L21">
        <v>25</v>
      </c>
      <c r="M21">
        <v>25</v>
      </c>
      <c r="N21">
        <v>25</v>
      </c>
      <c r="O21">
        <v>25</v>
      </c>
      <c r="P21">
        <v>25</v>
      </c>
      <c r="Q21">
        <v>25</v>
      </c>
      <c r="R21">
        <v>25</v>
      </c>
      <c r="S21">
        <v>25</v>
      </c>
      <c r="T21">
        <v>25</v>
      </c>
      <c r="U21">
        <v>25</v>
      </c>
      <c r="V21">
        <v>25</v>
      </c>
      <c r="W21">
        <v>25</v>
      </c>
      <c r="X21">
        <v>25</v>
      </c>
      <c r="Y21">
        <v>4</v>
      </c>
    </row>
    <row r="22" spans="1:25">
      <c r="A22">
        <v>29</v>
      </c>
      <c r="B22">
        <v>29</v>
      </c>
      <c r="C22">
        <v>29</v>
      </c>
      <c r="D22">
        <v>29</v>
      </c>
      <c r="E22">
        <v>29</v>
      </c>
      <c r="F22">
        <v>29</v>
      </c>
      <c r="G22">
        <v>29</v>
      </c>
      <c r="H22">
        <v>29</v>
      </c>
      <c r="I22">
        <v>29</v>
      </c>
      <c r="J22">
        <v>29</v>
      </c>
      <c r="K22">
        <v>29</v>
      </c>
      <c r="L22">
        <v>29</v>
      </c>
      <c r="M22">
        <v>29</v>
      </c>
      <c r="N22">
        <v>29</v>
      </c>
      <c r="O22">
        <v>29</v>
      </c>
      <c r="P22">
        <v>29</v>
      </c>
      <c r="Q22">
        <v>29</v>
      </c>
      <c r="R22">
        <v>29</v>
      </c>
      <c r="S22">
        <v>29</v>
      </c>
      <c r="T22">
        <v>29</v>
      </c>
      <c r="U22">
        <v>29</v>
      </c>
      <c r="V22">
        <v>29</v>
      </c>
      <c r="W22">
        <v>29</v>
      </c>
      <c r="X22">
        <v>29</v>
      </c>
      <c r="Y22">
        <v>5</v>
      </c>
    </row>
    <row r="23" spans="1:25">
      <c r="A23">
        <v>33</v>
      </c>
      <c r="B23">
        <v>33</v>
      </c>
      <c r="C23">
        <v>33</v>
      </c>
      <c r="D23">
        <v>33</v>
      </c>
      <c r="E23">
        <v>33</v>
      </c>
      <c r="F23">
        <v>33</v>
      </c>
      <c r="G23">
        <v>33</v>
      </c>
      <c r="H23">
        <v>33</v>
      </c>
      <c r="I23">
        <v>33</v>
      </c>
      <c r="J23">
        <v>33</v>
      </c>
      <c r="K23">
        <v>33</v>
      </c>
      <c r="L23">
        <v>33</v>
      </c>
      <c r="M23">
        <v>33</v>
      </c>
      <c r="N23">
        <v>33</v>
      </c>
      <c r="O23">
        <v>33</v>
      </c>
      <c r="P23">
        <v>33</v>
      </c>
      <c r="Q23">
        <v>33</v>
      </c>
      <c r="R23">
        <v>33</v>
      </c>
      <c r="S23">
        <v>33</v>
      </c>
      <c r="T23">
        <v>33</v>
      </c>
      <c r="U23">
        <v>33</v>
      </c>
      <c r="V23">
        <v>33</v>
      </c>
      <c r="W23">
        <v>33</v>
      </c>
      <c r="X23">
        <v>33</v>
      </c>
      <c r="Y23">
        <v>6</v>
      </c>
    </row>
    <row r="24" spans="1:25">
      <c r="A24">
        <v>37</v>
      </c>
      <c r="B24">
        <v>37</v>
      </c>
      <c r="C24">
        <v>37</v>
      </c>
      <c r="D24">
        <v>37</v>
      </c>
      <c r="E24">
        <v>37</v>
      </c>
      <c r="F24">
        <v>37</v>
      </c>
      <c r="G24">
        <v>37</v>
      </c>
      <c r="H24">
        <v>37</v>
      </c>
      <c r="I24">
        <v>37</v>
      </c>
      <c r="J24">
        <v>37</v>
      </c>
      <c r="K24">
        <v>37</v>
      </c>
      <c r="L24">
        <v>37</v>
      </c>
      <c r="M24">
        <v>37</v>
      </c>
      <c r="N24">
        <v>37</v>
      </c>
      <c r="O24">
        <v>37</v>
      </c>
      <c r="P24">
        <v>37</v>
      </c>
      <c r="Q24">
        <v>37</v>
      </c>
      <c r="R24">
        <v>37</v>
      </c>
      <c r="S24">
        <v>37</v>
      </c>
      <c r="T24">
        <v>37</v>
      </c>
      <c r="U24">
        <v>37</v>
      </c>
      <c r="V24">
        <v>37</v>
      </c>
      <c r="W24">
        <v>37</v>
      </c>
      <c r="X24">
        <v>37</v>
      </c>
      <c r="Y24">
        <v>7</v>
      </c>
    </row>
    <row r="25" spans="1:25">
      <c r="A25">
        <v>41</v>
      </c>
      <c r="B25">
        <v>41</v>
      </c>
      <c r="C25">
        <v>41</v>
      </c>
      <c r="D25">
        <v>41</v>
      </c>
      <c r="E25">
        <v>41</v>
      </c>
      <c r="F25">
        <v>41</v>
      </c>
      <c r="G25">
        <v>41</v>
      </c>
      <c r="H25">
        <v>41</v>
      </c>
      <c r="I25">
        <v>41</v>
      </c>
      <c r="J25">
        <v>41</v>
      </c>
      <c r="K25">
        <v>41</v>
      </c>
      <c r="L25">
        <v>41</v>
      </c>
      <c r="M25">
        <v>41</v>
      </c>
      <c r="N25">
        <v>41</v>
      </c>
      <c r="O25">
        <v>41</v>
      </c>
      <c r="P25">
        <v>41</v>
      </c>
      <c r="Q25">
        <v>41</v>
      </c>
      <c r="R25">
        <v>41</v>
      </c>
      <c r="S25">
        <v>41</v>
      </c>
      <c r="T25">
        <v>41</v>
      </c>
      <c r="U25">
        <v>41</v>
      </c>
      <c r="V25">
        <v>41</v>
      </c>
      <c r="W25">
        <v>41</v>
      </c>
      <c r="X25">
        <v>41</v>
      </c>
      <c r="Y25">
        <v>8</v>
      </c>
    </row>
    <row r="26" spans="1:25">
      <c r="A26">
        <v>46</v>
      </c>
      <c r="B26">
        <v>46</v>
      </c>
      <c r="C26">
        <v>46</v>
      </c>
      <c r="D26">
        <v>46</v>
      </c>
      <c r="E26">
        <v>46</v>
      </c>
      <c r="F26">
        <v>46</v>
      </c>
      <c r="G26">
        <v>46</v>
      </c>
      <c r="H26">
        <v>46</v>
      </c>
      <c r="I26">
        <v>46</v>
      </c>
      <c r="J26">
        <v>46</v>
      </c>
      <c r="K26">
        <v>46</v>
      </c>
      <c r="L26">
        <v>46</v>
      </c>
      <c r="M26">
        <v>46</v>
      </c>
      <c r="N26">
        <v>46</v>
      </c>
      <c r="O26">
        <v>46</v>
      </c>
      <c r="P26">
        <v>46</v>
      </c>
      <c r="Q26">
        <v>46</v>
      </c>
      <c r="R26">
        <v>46</v>
      </c>
      <c r="S26">
        <v>46</v>
      </c>
      <c r="T26">
        <v>46</v>
      </c>
      <c r="U26">
        <v>46</v>
      </c>
      <c r="V26">
        <v>46</v>
      </c>
      <c r="W26">
        <v>46</v>
      </c>
      <c r="X26">
        <v>46</v>
      </c>
      <c r="Y26">
        <v>9</v>
      </c>
    </row>
    <row r="27" spans="1:25">
      <c r="A27">
        <v>52</v>
      </c>
      <c r="B27">
        <v>52</v>
      </c>
      <c r="C27">
        <v>52</v>
      </c>
      <c r="D27">
        <v>52</v>
      </c>
      <c r="E27">
        <v>52</v>
      </c>
      <c r="F27">
        <v>52</v>
      </c>
      <c r="G27">
        <v>52</v>
      </c>
      <c r="H27">
        <v>52</v>
      </c>
      <c r="I27">
        <v>52</v>
      </c>
      <c r="J27">
        <v>52</v>
      </c>
      <c r="K27">
        <v>52</v>
      </c>
      <c r="L27">
        <v>52</v>
      </c>
      <c r="M27">
        <v>52</v>
      </c>
      <c r="N27">
        <v>52</v>
      </c>
      <c r="O27">
        <v>52</v>
      </c>
      <c r="P27">
        <v>52</v>
      </c>
      <c r="Q27">
        <v>52</v>
      </c>
      <c r="R27">
        <v>52</v>
      </c>
      <c r="S27">
        <v>52</v>
      </c>
      <c r="T27">
        <v>52</v>
      </c>
      <c r="U27">
        <v>52</v>
      </c>
      <c r="V27">
        <v>52</v>
      </c>
      <c r="W27">
        <v>52</v>
      </c>
      <c r="X27">
        <v>52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Y27"/>
  <sheetViews>
    <sheetView topLeftCell="A16" workbookViewId="0">
      <selection activeCell="A4" sqref="A4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>
        <v>18</v>
      </c>
      <c r="B5">
        <v>18</v>
      </c>
      <c r="C5">
        <v>18</v>
      </c>
      <c r="D5">
        <v>18</v>
      </c>
      <c r="E5">
        <v>18</v>
      </c>
      <c r="F5">
        <v>18</v>
      </c>
      <c r="G5">
        <v>18</v>
      </c>
      <c r="H5">
        <v>18</v>
      </c>
      <c r="I5">
        <v>18</v>
      </c>
      <c r="J5">
        <v>18</v>
      </c>
      <c r="K5">
        <v>18</v>
      </c>
      <c r="L5">
        <v>18</v>
      </c>
      <c r="M5">
        <v>18</v>
      </c>
      <c r="N5">
        <v>18</v>
      </c>
      <c r="O5">
        <v>18</v>
      </c>
      <c r="P5">
        <v>18</v>
      </c>
      <c r="Q5">
        <v>18</v>
      </c>
      <c r="R5">
        <v>18</v>
      </c>
      <c r="S5">
        <v>18</v>
      </c>
      <c r="T5">
        <v>18</v>
      </c>
      <c r="U5">
        <v>18</v>
      </c>
      <c r="V5">
        <v>18</v>
      </c>
      <c r="W5">
        <v>18</v>
      </c>
      <c r="X5">
        <v>18</v>
      </c>
      <c r="Y5">
        <v>2</v>
      </c>
    </row>
    <row r="6" spans="1:25">
      <c r="A6">
        <v>22</v>
      </c>
      <c r="B6">
        <v>22</v>
      </c>
      <c r="C6">
        <v>22</v>
      </c>
      <c r="D6">
        <v>22</v>
      </c>
      <c r="E6">
        <v>22</v>
      </c>
      <c r="F6">
        <v>22</v>
      </c>
      <c r="G6">
        <v>22</v>
      </c>
      <c r="H6">
        <v>22</v>
      </c>
      <c r="I6">
        <v>22</v>
      </c>
      <c r="J6">
        <v>22</v>
      </c>
      <c r="K6">
        <v>22</v>
      </c>
      <c r="L6">
        <v>22</v>
      </c>
      <c r="M6">
        <v>22</v>
      </c>
      <c r="N6">
        <v>22</v>
      </c>
      <c r="O6">
        <v>22</v>
      </c>
      <c r="P6">
        <v>22</v>
      </c>
      <c r="Q6">
        <v>22</v>
      </c>
      <c r="R6">
        <v>22</v>
      </c>
      <c r="S6">
        <v>22</v>
      </c>
      <c r="T6">
        <v>22</v>
      </c>
      <c r="U6">
        <v>22</v>
      </c>
      <c r="V6">
        <v>22</v>
      </c>
      <c r="W6">
        <v>22</v>
      </c>
      <c r="X6">
        <v>22</v>
      </c>
      <c r="Y6">
        <v>3</v>
      </c>
    </row>
    <row r="7" spans="1:25">
      <c r="A7">
        <v>26</v>
      </c>
      <c r="B7">
        <v>26</v>
      </c>
      <c r="C7">
        <v>26</v>
      </c>
      <c r="D7">
        <v>26</v>
      </c>
      <c r="E7">
        <v>26</v>
      </c>
      <c r="F7">
        <v>26</v>
      </c>
      <c r="G7">
        <v>26</v>
      </c>
      <c r="H7">
        <v>26</v>
      </c>
      <c r="I7">
        <v>26</v>
      </c>
      <c r="J7">
        <v>26</v>
      </c>
      <c r="K7">
        <v>26</v>
      </c>
      <c r="L7">
        <v>26</v>
      </c>
      <c r="M7">
        <v>26</v>
      </c>
      <c r="N7">
        <v>26</v>
      </c>
      <c r="O7">
        <v>26</v>
      </c>
      <c r="P7">
        <v>26</v>
      </c>
      <c r="Q7">
        <v>26</v>
      </c>
      <c r="R7">
        <v>26</v>
      </c>
      <c r="S7">
        <v>26</v>
      </c>
      <c r="T7">
        <v>26</v>
      </c>
      <c r="U7">
        <v>26</v>
      </c>
      <c r="V7">
        <v>26</v>
      </c>
      <c r="W7">
        <v>26</v>
      </c>
      <c r="X7">
        <v>26</v>
      </c>
      <c r="Y7">
        <v>4</v>
      </c>
    </row>
    <row r="8" spans="1:25">
      <c r="A8">
        <v>30</v>
      </c>
      <c r="B8">
        <v>30</v>
      </c>
      <c r="C8">
        <v>30</v>
      </c>
      <c r="D8">
        <v>30</v>
      </c>
      <c r="E8">
        <v>30</v>
      </c>
      <c r="F8">
        <v>30</v>
      </c>
      <c r="G8">
        <v>30</v>
      </c>
      <c r="H8">
        <v>30</v>
      </c>
      <c r="I8">
        <v>30</v>
      </c>
      <c r="J8">
        <v>30</v>
      </c>
      <c r="K8">
        <v>30</v>
      </c>
      <c r="L8">
        <v>30</v>
      </c>
      <c r="M8">
        <v>30</v>
      </c>
      <c r="N8">
        <v>30</v>
      </c>
      <c r="O8">
        <v>30</v>
      </c>
      <c r="P8">
        <v>30</v>
      </c>
      <c r="Q8">
        <v>30</v>
      </c>
      <c r="R8">
        <v>30</v>
      </c>
      <c r="S8">
        <v>30</v>
      </c>
      <c r="T8">
        <v>30</v>
      </c>
      <c r="U8">
        <v>30</v>
      </c>
      <c r="V8">
        <v>30</v>
      </c>
      <c r="W8">
        <v>30</v>
      </c>
      <c r="X8">
        <v>30</v>
      </c>
      <c r="Y8">
        <v>5</v>
      </c>
    </row>
    <row r="9" spans="1:25">
      <c r="A9">
        <v>34</v>
      </c>
      <c r="B9">
        <v>34</v>
      </c>
      <c r="C9">
        <v>34</v>
      </c>
      <c r="D9">
        <v>34</v>
      </c>
      <c r="E9">
        <v>34</v>
      </c>
      <c r="F9">
        <v>34</v>
      </c>
      <c r="G9">
        <v>34</v>
      </c>
      <c r="H9">
        <v>34</v>
      </c>
      <c r="I9">
        <v>34</v>
      </c>
      <c r="J9">
        <v>34</v>
      </c>
      <c r="K9">
        <v>34</v>
      </c>
      <c r="L9">
        <v>34</v>
      </c>
      <c r="M9">
        <v>34</v>
      </c>
      <c r="N9">
        <v>34</v>
      </c>
      <c r="O9">
        <v>34</v>
      </c>
      <c r="P9">
        <v>34</v>
      </c>
      <c r="Q9">
        <v>34</v>
      </c>
      <c r="R9">
        <v>34</v>
      </c>
      <c r="S9">
        <v>34</v>
      </c>
      <c r="T9">
        <v>34</v>
      </c>
      <c r="U9">
        <v>34</v>
      </c>
      <c r="V9">
        <v>34</v>
      </c>
      <c r="W9">
        <v>34</v>
      </c>
      <c r="X9">
        <v>34</v>
      </c>
      <c r="Y9">
        <v>6</v>
      </c>
    </row>
    <row r="10" spans="1:25">
      <c r="A10">
        <v>38</v>
      </c>
      <c r="B10">
        <v>38</v>
      </c>
      <c r="C10">
        <v>38</v>
      </c>
      <c r="D10">
        <v>38</v>
      </c>
      <c r="E10">
        <v>38</v>
      </c>
      <c r="F10">
        <v>38</v>
      </c>
      <c r="G10">
        <v>38</v>
      </c>
      <c r="H10">
        <v>38</v>
      </c>
      <c r="I10">
        <v>38</v>
      </c>
      <c r="J10">
        <v>38</v>
      </c>
      <c r="K10">
        <v>38</v>
      </c>
      <c r="L10">
        <v>38</v>
      </c>
      <c r="M10">
        <v>38</v>
      </c>
      <c r="N10">
        <v>38</v>
      </c>
      <c r="O10">
        <v>38</v>
      </c>
      <c r="P10">
        <v>38</v>
      </c>
      <c r="Q10">
        <v>38</v>
      </c>
      <c r="R10">
        <v>38</v>
      </c>
      <c r="S10">
        <v>38</v>
      </c>
      <c r="T10">
        <v>38</v>
      </c>
      <c r="U10">
        <v>38</v>
      </c>
      <c r="V10">
        <v>38</v>
      </c>
      <c r="W10">
        <v>38</v>
      </c>
      <c r="X10">
        <v>38</v>
      </c>
      <c r="Y10">
        <v>7</v>
      </c>
    </row>
    <row r="11" spans="1:25">
      <c r="A11">
        <v>42</v>
      </c>
      <c r="B11">
        <v>42</v>
      </c>
      <c r="C11">
        <v>42</v>
      </c>
      <c r="D11">
        <v>42</v>
      </c>
      <c r="E11">
        <v>42</v>
      </c>
      <c r="F11">
        <v>42</v>
      </c>
      <c r="G11">
        <v>42</v>
      </c>
      <c r="H11">
        <v>42</v>
      </c>
      <c r="I11">
        <v>42</v>
      </c>
      <c r="J11">
        <v>42</v>
      </c>
      <c r="K11">
        <v>42</v>
      </c>
      <c r="L11">
        <v>42</v>
      </c>
      <c r="M11">
        <v>42</v>
      </c>
      <c r="N11">
        <v>42</v>
      </c>
      <c r="O11">
        <v>42</v>
      </c>
      <c r="P11">
        <v>42</v>
      </c>
      <c r="Q11">
        <v>42</v>
      </c>
      <c r="R11">
        <v>42</v>
      </c>
      <c r="S11">
        <v>42</v>
      </c>
      <c r="T11">
        <v>42</v>
      </c>
      <c r="U11">
        <v>42</v>
      </c>
      <c r="V11">
        <v>42</v>
      </c>
      <c r="W11">
        <v>42</v>
      </c>
      <c r="X11">
        <v>42</v>
      </c>
      <c r="Y11">
        <v>8</v>
      </c>
    </row>
    <row r="12" spans="1:25">
      <c r="A12">
        <v>46</v>
      </c>
      <c r="B12">
        <v>46</v>
      </c>
      <c r="C12">
        <v>46</v>
      </c>
      <c r="D12">
        <v>46</v>
      </c>
      <c r="E12">
        <v>46</v>
      </c>
      <c r="F12">
        <v>46</v>
      </c>
      <c r="G12">
        <v>46</v>
      </c>
      <c r="H12">
        <v>46</v>
      </c>
      <c r="I12">
        <v>46</v>
      </c>
      <c r="J12">
        <v>46</v>
      </c>
      <c r="K12">
        <v>46</v>
      </c>
      <c r="L12">
        <v>46</v>
      </c>
      <c r="M12">
        <v>46</v>
      </c>
      <c r="N12">
        <v>46</v>
      </c>
      <c r="O12">
        <v>46</v>
      </c>
      <c r="P12">
        <v>46</v>
      </c>
      <c r="Q12">
        <v>46</v>
      </c>
      <c r="R12">
        <v>46</v>
      </c>
      <c r="S12">
        <v>46</v>
      </c>
      <c r="T12">
        <v>46</v>
      </c>
      <c r="U12">
        <v>46</v>
      </c>
      <c r="V12">
        <v>46</v>
      </c>
      <c r="W12">
        <v>46</v>
      </c>
      <c r="X12">
        <v>46</v>
      </c>
      <c r="Y12">
        <v>9</v>
      </c>
    </row>
    <row r="13" spans="1:25">
      <c r="A13">
        <v>50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>
        <v>50</v>
      </c>
      <c r="O13">
        <v>50</v>
      </c>
      <c r="P13">
        <v>50</v>
      </c>
      <c r="Q13">
        <v>50</v>
      </c>
      <c r="R13">
        <v>50</v>
      </c>
      <c r="S13">
        <v>50</v>
      </c>
      <c r="T13">
        <v>50</v>
      </c>
      <c r="U13">
        <v>50</v>
      </c>
      <c r="V13">
        <v>50</v>
      </c>
      <c r="W13">
        <v>50</v>
      </c>
      <c r="X13">
        <v>50</v>
      </c>
      <c r="Y13">
        <v>10</v>
      </c>
    </row>
    <row r="15" spans="1:25">
      <c r="A15" t="s">
        <v>21</v>
      </c>
    </row>
    <row r="16" spans="1:25">
      <c r="Y16" t="s">
        <v>16</v>
      </c>
    </row>
    <row r="17" spans="1:25">
      <c r="Y17">
        <v>0</v>
      </c>
    </row>
    <row r="18" spans="1: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>
        <v>17</v>
      </c>
      <c r="B19">
        <v>17</v>
      </c>
      <c r="C19">
        <v>17</v>
      </c>
      <c r="D19">
        <v>17</v>
      </c>
      <c r="E19">
        <v>17</v>
      </c>
      <c r="F19">
        <v>17</v>
      </c>
      <c r="G19">
        <v>17</v>
      </c>
      <c r="H19">
        <v>17</v>
      </c>
      <c r="I19">
        <v>17</v>
      </c>
      <c r="J19">
        <v>17</v>
      </c>
      <c r="K19">
        <v>17</v>
      </c>
      <c r="L19">
        <v>17</v>
      </c>
      <c r="M19">
        <v>17</v>
      </c>
      <c r="N19">
        <v>17</v>
      </c>
      <c r="O19">
        <v>17</v>
      </c>
      <c r="P19">
        <v>17</v>
      </c>
      <c r="Q19">
        <v>17</v>
      </c>
      <c r="R19">
        <v>17</v>
      </c>
      <c r="S19">
        <v>17</v>
      </c>
      <c r="T19">
        <v>17</v>
      </c>
      <c r="U19">
        <v>17</v>
      </c>
      <c r="V19">
        <v>17</v>
      </c>
      <c r="W19">
        <v>17</v>
      </c>
      <c r="X19">
        <v>17</v>
      </c>
      <c r="Y19">
        <v>2</v>
      </c>
    </row>
    <row r="20" spans="1:25">
      <c r="A20">
        <v>21</v>
      </c>
      <c r="B20">
        <v>21</v>
      </c>
      <c r="C20">
        <v>21</v>
      </c>
      <c r="D20">
        <v>21</v>
      </c>
      <c r="E20">
        <v>21</v>
      </c>
      <c r="F20">
        <v>21</v>
      </c>
      <c r="G20">
        <v>21</v>
      </c>
      <c r="H20">
        <v>21</v>
      </c>
      <c r="I20">
        <v>21</v>
      </c>
      <c r="J20">
        <v>21</v>
      </c>
      <c r="K20">
        <v>21</v>
      </c>
      <c r="L20">
        <v>21</v>
      </c>
      <c r="M20">
        <v>21</v>
      </c>
      <c r="N20">
        <v>21</v>
      </c>
      <c r="O20">
        <v>21</v>
      </c>
      <c r="P20">
        <v>21</v>
      </c>
      <c r="Q20">
        <v>21</v>
      </c>
      <c r="R20">
        <v>21</v>
      </c>
      <c r="S20">
        <v>21</v>
      </c>
      <c r="T20">
        <v>21</v>
      </c>
      <c r="U20">
        <v>21</v>
      </c>
      <c r="V20">
        <v>21</v>
      </c>
      <c r="W20">
        <v>21</v>
      </c>
      <c r="X20">
        <v>21</v>
      </c>
      <c r="Y20">
        <v>3</v>
      </c>
    </row>
    <row r="21" spans="1:25">
      <c r="A21">
        <v>25</v>
      </c>
      <c r="B21">
        <v>25</v>
      </c>
      <c r="C21">
        <v>25</v>
      </c>
      <c r="D21">
        <v>25</v>
      </c>
      <c r="E21">
        <v>25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25</v>
      </c>
      <c r="L21">
        <v>25</v>
      </c>
      <c r="M21">
        <v>25</v>
      </c>
      <c r="N21">
        <v>25</v>
      </c>
      <c r="O21">
        <v>25</v>
      </c>
      <c r="P21">
        <v>25</v>
      </c>
      <c r="Q21">
        <v>25</v>
      </c>
      <c r="R21">
        <v>25</v>
      </c>
      <c r="S21">
        <v>25</v>
      </c>
      <c r="T21">
        <v>25</v>
      </c>
      <c r="U21">
        <v>25</v>
      </c>
      <c r="V21">
        <v>25</v>
      </c>
      <c r="W21">
        <v>25</v>
      </c>
      <c r="X21">
        <v>25</v>
      </c>
      <c r="Y21">
        <v>4</v>
      </c>
    </row>
    <row r="22" spans="1:25">
      <c r="A22">
        <v>28</v>
      </c>
      <c r="B22">
        <v>28</v>
      </c>
      <c r="C22">
        <v>28</v>
      </c>
      <c r="D22">
        <v>28</v>
      </c>
      <c r="E22">
        <v>28</v>
      </c>
      <c r="F22">
        <v>28</v>
      </c>
      <c r="G22">
        <v>28</v>
      </c>
      <c r="H22">
        <v>28</v>
      </c>
      <c r="I22">
        <v>28</v>
      </c>
      <c r="J22">
        <v>28</v>
      </c>
      <c r="K22">
        <v>28</v>
      </c>
      <c r="L22">
        <v>28</v>
      </c>
      <c r="M22">
        <v>28</v>
      </c>
      <c r="N22">
        <v>28</v>
      </c>
      <c r="O22">
        <v>28</v>
      </c>
      <c r="P22">
        <v>28</v>
      </c>
      <c r="Q22">
        <v>28</v>
      </c>
      <c r="R22">
        <v>28</v>
      </c>
      <c r="S22">
        <v>28</v>
      </c>
      <c r="T22">
        <v>28</v>
      </c>
      <c r="U22">
        <v>28</v>
      </c>
      <c r="V22">
        <v>28</v>
      </c>
      <c r="W22">
        <v>28</v>
      </c>
      <c r="X22">
        <v>28</v>
      </c>
      <c r="Y22">
        <v>5</v>
      </c>
    </row>
    <row r="23" spans="1:25">
      <c r="A23">
        <v>32</v>
      </c>
      <c r="B23">
        <v>32</v>
      </c>
      <c r="C23">
        <v>32</v>
      </c>
      <c r="D23">
        <v>32</v>
      </c>
      <c r="E23">
        <v>32</v>
      </c>
      <c r="F23">
        <v>32</v>
      </c>
      <c r="G23">
        <v>32</v>
      </c>
      <c r="H23">
        <v>32</v>
      </c>
      <c r="I23">
        <v>32</v>
      </c>
      <c r="J23">
        <v>32</v>
      </c>
      <c r="K23">
        <v>32</v>
      </c>
      <c r="L23">
        <v>32</v>
      </c>
      <c r="M23">
        <v>32</v>
      </c>
      <c r="N23">
        <v>32</v>
      </c>
      <c r="O23">
        <v>32</v>
      </c>
      <c r="P23">
        <v>32</v>
      </c>
      <c r="Q23">
        <v>32</v>
      </c>
      <c r="R23">
        <v>32</v>
      </c>
      <c r="S23">
        <v>32</v>
      </c>
      <c r="T23">
        <v>32</v>
      </c>
      <c r="U23">
        <v>32</v>
      </c>
      <c r="V23">
        <v>32</v>
      </c>
      <c r="W23">
        <v>32</v>
      </c>
      <c r="X23">
        <v>32</v>
      </c>
      <c r="Y23">
        <v>6</v>
      </c>
    </row>
    <row r="24" spans="1:25">
      <c r="A24">
        <v>36</v>
      </c>
      <c r="B24">
        <v>36</v>
      </c>
      <c r="C24">
        <v>36</v>
      </c>
      <c r="D24">
        <v>36</v>
      </c>
      <c r="E24">
        <v>36</v>
      </c>
      <c r="F24">
        <v>36</v>
      </c>
      <c r="G24">
        <v>36</v>
      </c>
      <c r="H24">
        <v>36</v>
      </c>
      <c r="I24">
        <v>36</v>
      </c>
      <c r="J24">
        <v>36</v>
      </c>
      <c r="K24">
        <v>36</v>
      </c>
      <c r="L24">
        <v>36</v>
      </c>
      <c r="M24">
        <v>36</v>
      </c>
      <c r="N24">
        <v>36</v>
      </c>
      <c r="O24">
        <v>36</v>
      </c>
      <c r="P24">
        <v>36</v>
      </c>
      <c r="Q24">
        <v>36</v>
      </c>
      <c r="R24">
        <v>36</v>
      </c>
      <c r="S24">
        <v>36</v>
      </c>
      <c r="T24">
        <v>36</v>
      </c>
      <c r="U24">
        <v>36</v>
      </c>
      <c r="V24">
        <v>36</v>
      </c>
      <c r="W24">
        <v>36</v>
      </c>
      <c r="X24">
        <v>36</v>
      </c>
      <c r="Y24">
        <v>7</v>
      </c>
    </row>
    <row r="25" spans="1:25">
      <c r="A25">
        <v>40</v>
      </c>
      <c r="B25">
        <v>40</v>
      </c>
      <c r="C25">
        <v>40</v>
      </c>
      <c r="D25">
        <v>40</v>
      </c>
      <c r="E25">
        <v>40</v>
      </c>
      <c r="F25">
        <v>40</v>
      </c>
      <c r="G25">
        <v>40</v>
      </c>
      <c r="H25">
        <v>40</v>
      </c>
      <c r="I25">
        <v>40</v>
      </c>
      <c r="J25">
        <v>40</v>
      </c>
      <c r="K25">
        <v>40</v>
      </c>
      <c r="L25">
        <v>40</v>
      </c>
      <c r="M25">
        <v>40</v>
      </c>
      <c r="N25">
        <v>40</v>
      </c>
      <c r="O25">
        <v>40</v>
      </c>
      <c r="P25">
        <v>40</v>
      </c>
      <c r="Q25">
        <v>40</v>
      </c>
      <c r="R25">
        <v>40</v>
      </c>
      <c r="S25">
        <v>40</v>
      </c>
      <c r="T25">
        <v>40</v>
      </c>
      <c r="U25">
        <v>40</v>
      </c>
      <c r="V25">
        <v>40</v>
      </c>
      <c r="W25">
        <v>40</v>
      </c>
      <c r="X25">
        <v>40</v>
      </c>
      <c r="Y25">
        <v>8</v>
      </c>
    </row>
    <row r="26" spans="1:25">
      <c r="A26">
        <v>43</v>
      </c>
      <c r="B26">
        <v>43</v>
      </c>
      <c r="C26">
        <v>43</v>
      </c>
      <c r="D26">
        <v>43</v>
      </c>
      <c r="E26">
        <v>43</v>
      </c>
      <c r="F26">
        <v>43</v>
      </c>
      <c r="G26">
        <v>43</v>
      </c>
      <c r="H26">
        <v>43</v>
      </c>
      <c r="I26">
        <v>43</v>
      </c>
      <c r="J26">
        <v>43</v>
      </c>
      <c r="K26">
        <v>43</v>
      </c>
      <c r="L26">
        <v>43</v>
      </c>
      <c r="M26">
        <v>43</v>
      </c>
      <c r="N26">
        <v>43</v>
      </c>
      <c r="O26">
        <v>43</v>
      </c>
      <c r="P26">
        <v>43</v>
      </c>
      <c r="Q26">
        <v>43</v>
      </c>
      <c r="R26">
        <v>43</v>
      </c>
      <c r="S26">
        <v>43</v>
      </c>
      <c r="T26">
        <v>43</v>
      </c>
      <c r="U26">
        <v>43</v>
      </c>
      <c r="V26">
        <v>43</v>
      </c>
      <c r="W26">
        <v>43</v>
      </c>
      <c r="X26">
        <v>43</v>
      </c>
      <c r="Y26">
        <v>9</v>
      </c>
    </row>
    <row r="27" spans="1:25">
      <c r="A27">
        <v>47</v>
      </c>
      <c r="B27">
        <v>47</v>
      </c>
      <c r="C27">
        <v>47</v>
      </c>
      <c r="D27">
        <v>47</v>
      </c>
      <c r="E27">
        <v>47</v>
      </c>
      <c r="F27">
        <v>47</v>
      </c>
      <c r="G27">
        <v>47</v>
      </c>
      <c r="H27">
        <v>47</v>
      </c>
      <c r="I27">
        <v>47</v>
      </c>
      <c r="J27">
        <v>47</v>
      </c>
      <c r="K27">
        <v>47</v>
      </c>
      <c r="L27">
        <v>47</v>
      </c>
      <c r="M27">
        <v>47</v>
      </c>
      <c r="N27">
        <v>47</v>
      </c>
      <c r="O27">
        <v>47</v>
      </c>
      <c r="P27">
        <v>47</v>
      </c>
      <c r="Q27">
        <v>47</v>
      </c>
      <c r="R27">
        <v>47</v>
      </c>
      <c r="S27">
        <v>47</v>
      </c>
      <c r="T27">
        <v>47</v>
      </c>
      <c r="U27">
        <v>47</v>
      </c>
      <c r="V27">
        <v>47</v>
      </c>
      <c r="W27">
        <v>47</v>
      </c>
      <c r="X27">
        <v>47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Y27"/>
  <sheetViews>
    <sheetView topLeftCell="A15" workbookViewId="0">
      <selection activeCell="N23" sqref="N23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>
        <v>8</v>
      </c>
      <c r="B5">
        <v>8</v>
      </c>
      <c r="C5">
        <v>8</v>
      </c>
      <c r="D5">
        <v>8</v>
      </c>
      <c r="E5">
        <v>8</v>
      </c>
      <c r="F5">
        <v>8</v>
      </c>
      <c r="G5">
        <v>8</v>
      </c>
      <c r="H5">
        <v>8</v>
      </c>
      <c r="I5">
        <v>8</v>
      </c>
      <c r="J5">
        <v>8</v>
      </c>
      <c r="K5">
        <v>8</v>
      </c>
      <c r="L5">
        <v>8</v>
      </c>
      <c r="M5">
        <v>8</v>
      </c>
      <c r="N5">
        <v>8</v>
      </c>
      <c r="O5">
        <v>8</v>
      </c>
      <c r="P5">
        <v>8</v>
      </c>
      <c r="Q5">
        <v>8</v>
      </c>
      <c r="R5">
        <v>8</v>
      </c>
      <c r="S5">
        <v>8</v>
      </c>
      <c r="T5">
        <v>8</v>
      </c>
      <c r="U5">
        <v>8</v>
      </c>
      <c r="V5">
        <v>8</v>
      </c>
      <c r="W5">
        <v>8</v>
      </c>
      <c r="X5">
        <v>8</v>
      </c>
      <c r="Y5">
        <v>2</v>
      </c>
    </row>
    <row r="6" spans="1:25">
      <c r="A6">
        <v>10</v>
      </c>
      <c r="B6">
        <v>10</v>
      </c>
      <c r="C6">
        <v>10</v>
      </c>
      <c r="D6">
        <v>10</v>
      </c>
      <c r="E6">
        <v>10</v>
      </c>
      <c r="F6">
        <v>10</v>
      </c>
      <c r="G6">
        <v>10</v>
      </c>
      <c r="H6">
        <v>10</v>
      </c>
      <c r="I6">
        <v>10</v>
      </c>
      <c r="J6">
        <v>10</v>
      </c>
      <c r="K6">
        <v>10</v>
      </c>
      <c r="L6">
        <v>10</v>
      </c>
      <c r="M6">
        <v>10</v>
      </c>
      <c r="N6">
        <v>10</v>
      </c>
      <c r="O6">
        <v>10</v>
      </c>
      <c r="P6">
        <v>10</v>
      </c>
      <c r="Q6">
        <v>10</v>
      </c>
      <c r="R6">
        <v>10</v>
      </c>
      <c r="S6">
        <v>10</v>
      </c>
      <c r="T6">
        <v>10</v>
      </c>
      <c r="U6">
        <v>10</v>
      </c>
      <c r="V6">
        <v>10</v>
      </c>
      <c r="W6">
        <v>10</v>
      </c>
      <c r="X6">
        <v>10</v>
      </c>
      <c r="Y6">
        <v>3</v>
      </c>
    </row>
    <row r="7" spans="1:25">
      <c r="A7">
        <v>15</v>
      </c>
      <c r="B7">
        <v>15</v>
      </c>
      <c r="C7">
        <v>15</v>
      </c>
      <c r="D7">
        <v>15</v>
      </c>
      <c r="E7">
        <v>15</v>
      </c>
      <c r="F7">
        <v>15</v>
      </c>
      <c r="G7">
        <v>15</v>
      </c>
      <c r="H7">
        <v>15</v>
      </c>
      <c r="I7">
        <v>15</v>
      </c>
      <c r="J7">
        <v>15</v>
      </c>
      <c r="K7">
        <v>15</v>
      </c>
      <c r="L7">
        <v>15</v>
      </c>
      <c r="M7">
        <v>15</v>
      </c>
      <c r="N7">
        <v>15</v>
      </c>
      <c r="O7">
        <v>15</v>
      </c>
      <c r="P7">
        <v>15</v>
      </c>
      <c r="Q7">
        <v>15</v>
      </c>
      <c r="R7">
        <v>15</v>
      </c>
      <c r="S7">
        <v>15</v>
      </c>
      <c r="T7">
        <v>15</v>
      </c>
      <c r="U7">
        <v>15</v>
      </c>
      <c r="V7">
        <v>15</v>
      </c>
      <c r="W7">
        <v>15</v>
      </c>
      <c r="X7">
        <v>15</v>
      </c>
      <c r="Y7">
        <v>4</v>
      </c>
    </row>
    <row r="8" spans="1:25">
      <c r="A8">
        <v>23</v>
      </c>
      <c r="B8">
        <v>23</v>
      </c>
      <c r="C8">
        <v>23</v>
      </c>
      <c r="D8">
        <v>23</v>
      </c>
      <c r="E8">
        <v>23</v>
      </c>
      <c r="F8">
        <v>23</v>
      </c>
      <c r="G8">
        <v>23</v>
      </c>
      <c r="H8">
        <v>23</v>
      </c>
      <c r="I8">
        <v>23</v>
      </c>
      <c r="J8">
        <v>23</v>
      </c>
      <c r="K8">
        <v>23</v>
      </c>
      <c r="L8">
        <v>23</v>
      </c>
      <c r="M8">
        <v>23</v>
      </c>
      <c r="N8">
        <v>23</v>
      </c>
      <c r="O8">
        <v>23</v>
      </c>
      <c r="P8">
        <v>23</v>
      </c>
      <c r="Q8">
        <v>23</v>
      </c>
      <c r="R8">
        <v>23</v>
      </c>
      <c r="S8">
        <v>23</v>
      </c>
      <c r="T8">
        <v>23</v>
      </c>
      <c r="U8">
        <v>23</v>
      </c>
      <c r="V8">
        <v>23</v>
      </c>
      <c r="W8">
        <v>23</v>
      </c>
      <c r="X8">
        <v>23</v>
      </c>
      <c r="Y8">
        <v>5</v>
      </c>
    </row>
    <row r="9" spans="1:25">
      <c r="A9">
        <v>33</v>
      </c>
      <c r="B9">
        <v>33</v>
      </c>
      <c r="C9">
        <v>33</v>
      </c>
      <c r="D9">
        <v>33</v>
      </c>
      <c r="E9">
        <v>33</v>
      </c>
      <c r="F9">
        <v>33</v>
      </c>
      <c r="G9">
        <v>33</v>
      </c>
      <c r="H9">
        <v>33</v>
      </c>
      <c r="I9">
        <v>33</v>
      </c>
      <c r="J9">
        <v>33</v>
      </c>
      <c r="K9">
        <v>33</v>
      </c>
      <c r="L9">
        <v>33</v>
      </c>
      <c r="M9">
        <v>33</v>
      </c>
      <c r="N9">
        <v>33</v>
      </c>
      <c r="O9">
        <v>33</v>
      </c>
      <c r="P9">
        <v>33</v>
      </c>
      <c r="Q9">
        <v>33</v>
      </c>
      <c r="R9">
        <v>33</v>
      </c>
      <c r="S9">
        <v>33</v>
      </c>
      <c r="T9">
        <v>33</v>
      </c>
      <c r="U9">
        <v>33</v>
      </c>
      <c r="V9">
        <v>33</v>
      </c>
      <c r="W9">
        <v>33</v>
      </c>
      <c r="X9">
        <v>33</v>
      </c>
      <c r="Y9">
        <v>6</v>
      </c>
    </row>
    <row r="10" spans="1:25">
      <c r="A10">
        <v>45</v>
      </c>
      <c r="B10">
        <v>45</v>
      </c>
      <c r="C10">
        <v>45</v>
      </c>
      <c r="D10">
        <v>45</v>
      </c>
      <c r="E10">
        <v>45</v>
      </c>
      <c r="F10">
        <v>45</v>
      </c>
      <c r="G10">
        <v>45</v>
      </c>
      <c r="H10">
        <v>45</v>
      </c>
      <c r="I10">
        <v>45</v>
      </c>
      <c r="J10">
        <v>45</v>
      </c>
      <c r="K10">
        <v>45</v>
      </c>
      <c r="L10">
        <v>45</v>
      </c>
      <c r="M10">
        <v>45</v>
      </c>
      <c r="N10">
        <v>45</v>
      </c>
      <c r="O10">
        <v>45</v>
      </c>
      <c r="P10">
        <v>45</v>
      </c>
      <c r="Q10">
        <v>45</v>
      </c>
      <c r="R10">
        <v>45</v>
      </c>
      <c r="S10">
        <v>45</v>
      </c>
      <c r="T10">
        <v>45</v>
      </c>
      <c r="U10">
        <v>45</v>
      </c>
      <c r="V10">
        <v>45</v>
      </c>
      <c r="W10">
        <v>45</v>
      </c>
      <c r="X10">
        <v>45</v>
      </c>
      <c r="Y10">
        <v>7</v>
      </c>
    </row>
    <row r="11" spans="1:25">
      <c r="A11">
        <v>57</v>
      </c>
      <c r="B11">
        <v>57</v>
      </c>
      <c r="C11">
        <v>57</v>
      </c>
      <c r="D11">
        <v>57</v>
      </c>
      <c r="E11">
        <v>57</v>
      </c>
      <c r="F11">
        <v>57</v>
      </c>
      <c r="G11">
        <v>57</v>
      </c>
      <c r="H11">
        <v>57</v>
      </c>
      <c r="I11">
        <v>57</v>
      </c>
      <c r="J11">
        <v>57</v>
      </c>
      <c r="K11">
        <v>57</v>
      </c>
      <c r="L11">
        <v>57</v>
      </c>
      <c r="M11">
        <v>57</v>
      </c>
      <c r="N11">
        <v>57</v>
      </c>
      <c r="O11">
        <v>57</v>
      </c>
      <c r="P11">
        <v>57</v>
      </c>
      <c r="Q11">
        <v>57</v>
      </c>
      <c r="R11">
        <v>57</v>
      </c>
      <c r="S11">
        <v>57</v>
      </c>
      <c r="T11">
        <v>57</v>
      </c>
      <c r="U11">
        <v>57</v>
      </c>
      <c r="V11">
        <v>57</v>
      </c>
      <c r="W11">
        <v>57</v>
      </c>
      <c r="X11">
        <v>57</v>
      </c>
      <c r="Y11">
        <v>8</v>
      </c>
    </row>
    <row r="12" spans="1:25">
      <c r="A12">
        <v>69</v>
      </c>
      <c r="B12">
        <v>69</v>
      </c>
      <c r="C12">
        <v>69</v>
      </c>
      <c r="D12">
        <v>69</v>
      </c>
      <c r="E12">
        <v>69</v>
      </c>
      <c r="F12">
        <v>69</v>
      </c>
      <c r="G12">
        <v>69</v>
      </c>
      <c r="H12">
        <v>69</v>
      </c>
      <c r="I12">
        <v>69</v>
      </c>
      <c r="J12">
        <v>69</v>
      </c>
      <c r="K12">
        <v>69</v>
      </c>
      <c r="L12">
        <v>69</v>
      </c>
      <c r="M12">
        <v>69</v>
      </c>
      <c r="N12">
        <v>69</v>
      </c>
      <c r="O12">
        <v>69</v>
      </c>
      <c r="P12">
        <v>69</v>
      </c>
      <c r="Q12">
        <v>69</v>
      </c>
      <c r="R12">
        <v>69</v>
      </c>
      <c r="S12">
        <v>69</v>
      </c>
      <c r="T12">
        <v>69</v>
      </c>
      <c r="U12">
        <v>69</v>
      </c>
      <c r="V12">
        <v>69</v>
      </c>
      <c r="W12">
        <v>69</v>
      </c>
      <c r="X12">
        <v>69</v>
      </c>
      <c r="Y12">
        <v>9</v>
      </c>
    </row>
    <row r="13" spans="1:25">
      <c r="A13">
        <v>80</v>
      </c>
      <c r="B13">
        <v>80</v>
      </c>
      <c r="C13">
        <v>80</v>
      </c>
      <c r="D13">
        <v>80</v>
      </c>
      <c r="E13">
        <v>80</v>
      </c>
      <c r="F13">
        <v>80</v>
      </c>
      <c r="G13">
        <v>80</v>
      </c>
      <c r="H13">
        <v>80</v>
      </c>
      <c r="I13">
        <v>80</v>
      </c>
      <c r="J13">
        <v>80</v>
      </c>
      <c r="K13">
        <v>80</v>
      </c>
      <c r="L13">
        <v>80</v>
      </c>
      <c r="M13">
        <v>80</v>
      </c>
      <c r="N13">
        <v>80</v>
      </c>
      <c r="O13">
        <v>80</v>
      </c>
      <c r="P13">
        <v>80</v>
      </c>
      <c r="Q13">
        <v>80</v>
      </c>
      <c r="R13">
        <v>80</v>
      </c>
      <c r="S13">
        <v>80</v>
      </c>
      <c r="T13">
        <v>80</v>
      </c>
      <c r="U13">
        <v>80</v>
      </c>
      <c r="V13">
        <v>80</v>
      </c>
      <c r="W13">
        <v>80</v>
      </c>
      <c r="X13">
        <v>80</v>
      </c>
      <c r="Y13">
        <v>10</v>
      </c>
    </row>
    <row r="15" spans="1:25">
      <c r="A15" t="s">
        <v>21</v>
      </c>
    </row>
    <row r="16" spans="1:25">
      <c r="Y16" t="s">
        <v>16</v>
      </c>
    </row>
    <row r="17" spans="1:25">
      <c r="Y17">
        <v>0</v>
      </c>
    </row>
    <row r="18" spans="1: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>
        <v>8</v>
      </c>
      <c r="B19">
        <v>8</v>
      </c>
      <c r="C19">
        <v>8</v>
      </c>
      <c r="D19">
        <v>8</v>
      </c>
      <c r="E19">
        <v>8</v>
      </c>
      <c r="F19">
        <v>8</v>
      </c>
      <c r="G19">
        <v>8</v>
      </c>
      <c r="H19">
        <v>8</v>
      </c>
      <c r="I19">
        <v>8</v>
      </c>
      <c r="J19">
        <v>8</v>
      </c>
      <c r="K19">
        <v>8</v>
      </c>
      <c r="L19">
        <v>8</v>
      </c>
      <c r="M19">
        <v>8</v>
      </c>
      <c r="N19">
        <v>8</v>
      </c>
      <c r="O19">
        <v>8</v>
      </c>
      <c r="P19">
        <v>8</v>
      </c>
      <c r="Q19">
        <v>8</v>
      </c>
      <c r="R19">
        <v>8</v>
      </c>
      <c r="S19">
        <v>8</v>
      </c>
      <c r="T19">
        <v>8</v>
      </c>
      <c r="U19">
        <v>8</v>
      </c>
      <c r="V19">
        <v>8</v>
      </c>
      <c r="W19">
        <v>8</v>
      </c>
      <c r="X19">
        <v>8</v>
      </c>
      <c r="Y19">
        <v>2</v>
      </c>
    </row>
    <row r="20" spans="1:25">
      <c r="A20">
        <v>10</v>
      </c>
      <c r="B20">
        <v>10</v>
      </c>
      <c r="C20">
        <v>10</v>
      </c>
      <c r="D20">
        <v>10</v>
      </c>
      <c r="E20">
        <v>10</v>
      </c>
      <c r="F20">
        <v>10</v>
      </c>
      <c r="G20">
        <v>10</v>
      </c>
      <c r="H20">
        <v>10</v>
      </c>
      <c r="I20">
        <v>10</v>
      </c>
      <c r="J20">
        <v>10</v>
      </c>
      <c r="K20">
        <v>10</v>
      </c>
      <c r="L20">
        <v>10</v>
      </c>
      <c r="M20">
        <v>10</v>
      </c>
      <c r="N20">
        <v>10</v>
      </c>
      <c r="O20">
        <v>10</v>
      </c>
      <c r="P20">
        <v>10</v>
      </c>
      <c r="Q20">
        <v>10</v>
      </c>
      <c r="R20">
        <v>10</v>
      </c>
      <c r="S20">
        <v>10</v>
      </c>
      <c r="T20">
        <v>10</v>
      </c>
      <c r="U20">
        <v>10</v>
      </c>
      <c r="V20">
        <v>10</v>
      </c>
      <c r="W20">
        <v>10</v>
      </c>
      <c r="X20">
        <v>10</v>
      </c>
      <c r="Y20">
        <v>3</v>
      </c>
    </row>
    <row r="21" spans="1:25">
      <c r="A21">
        <v>14</v>
      </c>
      <c r="B21">
        <v>14</v>
      </c>
      <c r="C21">
        <v>14</v>
      </c>
      <c r="D21">
        <v>14</v>
      </c>
      <c r="E21">
        <v>14</v>
      </c>
      <c r="F21">
        <v>14</v>
      </c>
      <c r="G21">
        <v>14</v>
      </c>
      <c r="H21">
        <v>14</v>
      </c>
      <c r="I21">
        <v>14</v>
      </c>
      <c r="J21">
        <v>14</v>
      </c>
      <c r="K21">
        <v>14</v>
      </c>
      <c r="L21">
        <v>14</v>
      </c>
      <c r="M21">
        <v>14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4</v>
      </c>
    </row>
    <row r="22" spans="1:25">
      <c r="A22">
        <v>19</v>
      </c>
      <c r="B22">
        <v>19</v>
      </c>
      <c r="C22">
        <v>19</v>
      </c>
      <c r="D22">
        <v>19</v>
      </c>
      <c r="E22">
        <v>19</v>
      </c>
      <c r="F22">
        <v>19</v>
      </c>
      <c r="G22">
        <v>19</v>
      </c>
      <c r="H22">
        <v>19</v>
      </c>
      <c r="I22">
        <v>19</v>
      </c>
      <c r="J22">
        <v>19</v>
      </c>
      <c r="K22">
        <v>19</v>
      </c>
      <c r="L22">
        <v>19</v>
      </c>
      <c r="M22">
        <v>19</v>
      </c>
      <c r="N22">
        <v>19</v>
      </c>
      <c r="O22">
        <v>19</v>
      </c>
      <c r="P22">
        <v>19</v>
      </c>
      <c r="Q22">
        <v>19</v>
      </c>
      <c r="R22">
        <v>19</v>
      </c>
      <c r="S22">
        <v>19</v>
      </c>
      <c r="T22">
        <v>19</v>
      </c>
      <c r="U22">
        <v>19</v>
      </c>
      <c r="V22">
        <v>19</v>
      </c>
      <c r="W22">
        <v>19</v>
      </c>
      <c r="X22">
        <v>19</v>
      </c>
      <c r="Y22">
        <v>5</v>
      </c>
    </row>
    <row r="23" spans="1:25">
      <c r="A23">
        <v>26</v>
      </c>
      <c r="B23">
        <v>26</v>
      </c>
      <c r="C23">
        <v>26</v>
      </c>
      <c r="D23">
        <v>26</v>
      </c>
      <c r="E23">
        <v>26</v>
      </c>
      <c r="F23">
        <v>26</v>
      </c>
      <c r="G23">
        <v>26</v>
      </c>
      <c r="H23">
        <v>26</v>
      </c>
      <c r="I23">
        <v>26</v>
      </c>
      <c r="J23">
        <v>26</v>
      </c>
      <c r="K23">
        <v>26</v>
      </c>
      <c r="L23">
        <v>26</v>
      </c>
      <c r="M23">
        <v>26</v>
      </c>
      <c r="N23">
        <v>26</v>
      </c>
      <c r="O23">
        <v>26</v>
      </c>
      <c r="P23">
        <v>26</v>
      </c>
      <c r="Q23">
        <v>26</v>
      </c>
      <c r="R23">
        <v>26</v>
      </c>
      <c r="S23">
        <v>26</v>
      </c>
      <c r="T23">
        <v>26</v>
      </c>
      <c r="U23">
        <v>26</v>
      </c>
      <c r="V23">
        <v>26</v>
      </c>
      <c r="W23">
        <v>26</v>
      </c>
      <c r="X23">
        <v>26</v>
      </c>
      <c r="Y23">
        <v>6</v>
      </c>
    </row>
    <row r="24" spans="1:25">
      <c r="A24">
        <v>35</v>
      </c>
      <c r="B24">
        <v>35</v>
      </c>
      <c r="C24">
        <v>35</v>
      </c>
      <c r="D24">
        <v>35</v>
      </c>
      <c r="E24">
        <v>35</v>
      </c>
      <c r="F24">
        <v>35</v>
      </c>
      <c r="G24">
        <v>35</v>
      </c>
      <c r="H24">
        <v>35</v>
      </c>
      <c r="I24">
        <v>35</v>
      </c>
      <c r="J24">
        <v>35</v>
      </c>
      <c r="K24">
        <v>35</v>
      </c>
      <c r="L24">
        <v>35</v>
      </c>
      <c r="M24">
        <v>35</v>
      </c>
      <c r="N24">
        <v>35</v>
      </c>
      <c r="O24">
        <v>35</v>
      </c>
      <c r="P24">
        <v>35</v>
      </c>
      <c r="Q24">
        <v>35</v>
      </c>
      <c r="R24">
        <v>35</v>
      </c>
      <c r="S24">
        <v>35</v>
      </c>
      <c r="T24">
        <v>35</v>
      </c>
      <c r="U24">
        <v>35</v>
      </c>
      <c r="V24">
        <v>35</v>
      </c>
      <c r="W24">
        <v>35</v>
      </c>
      <c r="X24">
        <v>35</v>
      </c>
      <c r="Y24">
        <v>7</v>
      </c>
    </row>
    <row r="25" spans="1:25">
      <c r="A25">
        <v>44</v>
      </c>
      <c r="B25">
        <v>44</v>
      </c>
      <c r="C25">
        <v>44</v>
      </c>
      <c r="D25">
        <v>44</v>
      </c>
      <c r="E25">
        <v>44</v>
      </c>
      <c r="F25">
        <v>44</v>
      </c>
      <c r="G25">
        <v>44</v>
      </c>
      <c r="H25">
        <v>44</v>
      </c>
      <c r="I25">
        <v>44</v>
      </c>
      <c r="J25">
        <v>44</v>
      </c>
      <c r="K25">
        <v>44</v>
      </c>
      <c r="L25">
        <v>44</v>
      </c>
      <c r="M25">
        <v>44</v>
      </c>
      <c r="N25">
        <v>44</v>
      </c>
      <c r="O25">
        <v>44</v>
      </c>
      <c r="P25">
        <v>44</v>
      </c>
      <c r="Q25">
        <v>44</v>
      </c>
      <c r="R25">
        <v>44</v>
      </c>
      <c r="S25">
        <v>44</v>
      </c>
      <c r="T25">
        <v>44</v>
      </c>
      <c r="U25">
        <v>44</v>
      </c>
      <c r="V25">
        <v>44</v>
      </c>
      <c r="W25">
        <v>44</v>
      </c>
      <c r="X25">
        <v>44</v>
      </c>
      <c r="Y25">
        <v>8</v>
      </c>
    </row>
    <row r="26" spans="1:25">
      <c r="A26">
        <v>54</v>
      </c>
      <c r="B26">
        <v>54</v>
      </c>
      <c r="C26">
        <v>54</v>
      </c>
      <c r="D26">
        <v>54</v>
      </c>
      <c r="E26">
        <v>54</v>
      </c>
      <c r="F26">
        <v>54</v>
      </c>
      <c r="G26">
        <v>54</v>
      </c>
      <c r="H26">
        <v>54</v>
      </c>
      <c r="I26">
        <v>54</v>
      </c>
      <c r="J26">
        <v>54</v>
      </c>
      <c r="K26">
        <v>54</v>
      </c>
      <c r="L26">
        <v>54</v>
      </c>
      <c r="M26">
        <v>54</v>
      </c>
      <c r="N26">
        <v>54</v>
      </c>
      <c r="O26">
        <v>54</v>
      </c>
      <c r="P26">
        <v>54</v>
      </c>
      <c r="Q26">
        <v>54</v>
      </c>
      <c r="R26">
        <v>54</v>
      </c>
      <c r="S26">
        <v>54</v>
      </c>
      <c r="T26">
        <v>54</v>
      </c>
      <c r="U26">
        <v>54</v>
      </c>
      <c r="V26">
        <v>54</v>
      </c>
      <c r="W26">
        <v>54</v>
      </c>
      <c r="X26">
        <v>54</v>
      </c>
      <c r="Y26">
        <v>9</v>
      </c>
    </row>
    <row r="27" spans="1:25">
      <c r="A27">
        <v>64</v>
      </c>
      <c r="B27">
        <v>64</v>
      </c>
      <c r="C27">
        <v>64</v>
      </c>
      <c r="D27">
        <v>64</v>
      </c>
      <c r="E27">
        <v>64</v>
      </c>
      <c r="F27">
        <v>64</v>
      </c>
      <c r="G27">
        <v>64</v>
      </c>
      <c r="H27">
        <v>64</v>
      </c>
      <c r="I27">
        <v>64</v>
      </c>
      <c r="J27">
        <v>64</v>
      </c>
      <c r="K27">
        <v>64</v>
      </c>
      <c r="L27">
        <v>64</v>
      </c>
      <c r="M27">
        <v>64</v>
      </c>
      <c r="N27">
        <v>64</v>
      </c>
      <c r="O27">
        <v>64</v>
      </c>
      <c r="P27">
        <v>64</v>
      </c>
      <c r="Q27">
        <v>64</v>
      </c>
      <c r="R27">
        <v>64</v>
      </c>
      <c r="S27">
        <v>64</v>
      </c>
      <c r="T27">
        <v>64</v>
      </c>
      <c r="U27">
        <v>64</v>
      </c>
      <c r="V27">
        <v>64</v>
      </c>
      <c r="W27">
        <v>64</v>
      </c>
      <c r="X27">
        <v>64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Y27"/>
  <sheetViews>
    <sheetView topLeftCell="A16" workbookViewId="0">
      <selection activeCell="T25" sqref="T25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 s="23">
        <v>8.1</v>
      </c>
      <c r="B4" s="23">
        <v>8.1</v>
      </c>
      <c r="C4" s="23">
        <v>8.1</v>
      </c>
      <c r="D4" s="23">
        <v>8.1</v>
      </c>
      <c r="E4" s="23">
        <v>8.1</v>
      </c>
      <c r="F4" s="23">
        <v>8.1</v>
      </c>
      <c r="G4" s="23">
        <v>8.1</v>
      </c>
      <c r="H4" s="23">
        <v>8.1</v>
      </c>
      <c r="I4" s="23">
        <v>8.1</v>
      </c>
      <c r="J4" s="23">
        <v>8.1</v>
      </c>
      <c r="K4" s="23">
        <v>8.1</v>
      </c>
      <c r="L4" s="23">
        <v>8.1</v>
      </c>
      <c r="M4" s="23">
        <v>8.1</v>
      </c>
      <c r="N4" s="23">
        <v>8.1</v>
      </c>
      <c r="O4" s="23">
        <v>8.1</v>
      </c>
      <c r="P4" s="23">
        <v>8.1</v>
      </c>
      <c r="Q4" s="23">
        <v>8.1</v>
      </c>
      <c r="R4" s="23">
        <v>8.1</v>
      </c>
      <c r="S4" s="23">
        <v>8.1</v>
      </c>
      <c r="T4" s="23">
        <v>8.1</v>
      </c>
      <c r="U4" s="23">
        <v>8.1</v>
      </c>
      <c r="V4" s="23">
        <v>8.1</v>
      </c>
      <c r="W4" s="23">
        <v>8.1</v>
      </c>
      <c r="X4" s="23">
        <v>8.1</v>
      </c>
      <c r="Y4">
        <v>1</v>
      </c>
    </row>
    <row r="5" spans="1:25">
      <c r="A5" s="23">
        <v>8.5</v>
      </c>
      <c r="B5" s="23">
        <v>8.5</v>
      </c>
      <c r="C5" s="23">
        <v>8.5</v>
      </c>
      <c r="D5" s="23">
        <v>8.5</v>
      </c>
      <c r="E5" s="23">
        <v>8.5</v>
      </c>
      <c r="F5" s="23">
        <v>8.5</v>
      </c>
      <c r="G5" s="23">
        <v>8.5</v>
      </c>
      <c r="H5" s="23">
        <v>8.5</v>
      </c>
      <c r="I5" s="23">
        <v>8.5</v>
      </c>
      <c r="J5" s="23">
        <v>8.5</v>
      </c>
      <c r="K5" s="23">
        <v>8.5</v>
      </c>
      <c r="L5" s="23">
        <v>8.5</v>
      </c>
      <c r="M5" s="23">
        <v>8.5</v>
      </c>
      <c r="N5" s="23">
        <v>8.5</v>
      </c>
      <c r="O5" s="23">
        <v>8.5</v>
      </c>
      <c r="P5" s="23">
        <v>8.5</v>
      </c>
      <c r="Q5" s="23">
        <v>8.5</v>
      </c>
      <c r="R5" s="23">
        <v>8.5</v>
      </c>
      <c r="S5" s="23">
        <v>8.5</v>
      </c>
      <c r="T5" s="23">
        <v>8.5</v>
      </c>
      <c r="U5" s="23">
        <v>8.5</v>
      </c>
      <c r="V5" s="23">
        <v>8.5</v>
      </c>
      <c r="W5" s="23">
        <v>8.5</v>
      </c>
      <c r="X5" s="23">
        <v>8.5</v>
      </c>
      <c r="Y5">
        <v>2</v>
      </c>
    </row>
    <row r="6" spans="1:25">
      <c r="A6" s="23">
        <v>8.9</v>
      </c>
      <c r="B6" s="23">
        <v>8.9</v>
      </c>
      <c r="C6" s="23">
        <v>8.9</v>
      </c>
      <c r="D6" s="23">
        <v>8.9</v>
      </c>
      <c r="E6" s="23">
        <v>8.9</v>
      </c>
      <c r="F6" s="23">
        <v>8.9</v>
      </c>
      <c r="G6" s="23">
        <v>8.9</v>
      </c>
      <c r="H6" s="23">
        <v>8.9</v>
      </c>
      <c r="I6" s="23">
        <v>8.9</v>
      </c>
      <c r="J6" s="23">
        <v>8.9</v>
      </c>
      <c r="K6" s="23">
        <v>8.9</v>
      </c>
      <c r="L6" s="23">
        <v>8.9</v>
      </c>
      <c r="M6" s="23">
        <v>8.9</v>
      </c>
      <c r="N6" s="23">
        <v>8.9</v>
      </c>
      <c r="O6" s="23">
        <v>8.9</v>
      </c>
      <c r="P6" s="23">
        <v>8.9</v>
      </c>
      <c r="Q6" s="23">
        <v>8.9</v>
      </c>
      <c r="R6" s="23">
        <v>8.9</v>
      </c>
      <c r="S6" s="23">
        <v>8.9</v>
      </c>
      <c r="T6" s="23">
        <v>8.9</v>
      </c>
      <c r="U6" s="23">
        <v>8.9</v>
      </c>
      <c r="V6" s="23">
        <v>8.9</v>
      </c>
      <c r="W6" s="23">
        <v>8.9</v>
      </c>
      <c r="X6" s="23">
        <v>8.9</v>
      </c>
      <c r="Y6">
        <v>3</v>
      </c>
    </row>
    <row r="7" spans="1:25">
      <c r="A7" s="23">
        <v>9.4</v>
      </c>
      <c r="B7" s="23">
        <v>9.4</v>
      </c>
      <c r="C7" s="23">
        <v>9.4</v>
      </c>
      <c r="D7" s="23">
        <v>9.4</v>
      </c>
      <c r="E7" s="23">
        <v>9.4</v>
      </c>
      <c r="F7" s="23">
        <v>9.4</v>
      </c>
      <c r="G7" s="23">
        <v>9.4</v>
      </c>
      <c r="H7" s="23">
        <v>9.4</v>
      </c>
      <c r="I7" s="23">
        <v>9.4</v>
      </c>
      <c r="J7" s="23">
        <v>9.4</v>
      </c>
      <c r="K7" s="23">
        <v>9.4</v>
      </c>
      <c r="L7" s="23">
        <v>9.4</v>
      </c>
      <c r="M7" s="23">
        <v>9.4</v>
      </c>
      <c r="N7" s="23">
        <v>9.4</v>
      </c>
      <c r="O7" s="23">
        <v>9.4</v>
      </c>
      <c r="P7" s="23">
        <v>9.4</v>
      </c>
      <c r="Q7" s="23">
        <v>9.4</v>
      </c>
      <c r="R7" s="23">
        <v>9.4</v>
      </c>
      <c r="S7" s="23">
        <v>9.4</v>
      </c>
      <c r="T7" s="23">
        <v>9.4</v>
      </c>
      <c r="U7" s="23">
        <v>9.4</v>
      </c>
      <c r="V7" s="23">
        <v>9.4</v>
      </c>
      <c r="W7" s="23">
        <v>9.4</v>
      </c>
      <c r="X7" s="23">
        <v>9.4</v>
      </c>
      <c r="Y7">
        <v>4</v>
      </c>
    </row>
    <row r="8" spans="1:25">
      <c r="A8" s="23">
        <v>10</v>
      </c>
      <c r="B8" s="23">
        <v>10</v>
      </c>
      <c r="C8" s="23">
        <v>10</v>
      </c>
      <c r="D8" s="23">
        <v>10</v>
      </c>
      <c r="E8" s="23">
        <v>10</v>
      </c>
      <c r="F8" s="23">
        <v>10</v>
      </c>
      <c r="G8" s="23">
        <v>10</v>
      </c>
      <c r="H8" s="23">
        <v>10</v>
      </c>
      <c r="I8" s="23">
        <v>10</v>
      </c>
      <c r="J8" s="23">
        <v>10</v>
      </c>
      <c r="K8" s="23">
        <v>10</v>
      </c>
      <c r="L8" s="23">
        <v>10</v>
      </c>
      <c r="M8" s="23">
        <v>10</v>
      </c>
      <c r="N8" s="23">
        <v>10</v>
      </c>
      <c r="O8" s="23">
        <v>10</v>
      </c>
      <c r="P8" s="23">
        <v>10</v>
      </c>
      <c r="Q8" s="23">
        <v>10</v>
      </c>
      <c r="R8" s="23">
        <v>10</v>
      </c>
      <c r="S8" s="23">
        <v>10</v>
      </c>
      <c r="T8" s="23">
        <v>10</v>
      </c>
      <c r="U8" s="23">
        <v>10</v>
      </c>
      <c r="V8" s="23">
        <v>10</v>
      </c>
      <c r="W8" s="23">
        <v>10</v>
      </c>
      <c r="X8" s="23">
        <v>10</v>
      </c>
      <c r="Y8">
        <v>5</v>
      </c>
    </row>
    <row r="9" spans="1:25">
      <c r="A9" s="23">
        <v>10.7</v>
      </c>
      <c r="B9" s="23">
        <v>10.7</v>
      </c>
      <c r="C9" s="23">
        <v>10.7</v>
      </c>
      <c r="D9" s="23">
        <v>10.7</v>
      </c>
      <c r="E9" s="23">
        <v>10.7</v>
      </c>
      <c r="F9" s="23">
        <v>10.7</v>
      </c>
      <c r="G9" s="23">
        <v>10.7</v>
      </c>
      <c r="H9" s="23">
        <v>10.7</v>
      </c>
      <c r="I9" s="23">
        <v>10.7</v>
      </c>
      <c r="J9" s="23">
        <v>10.7</v>
      </c>
      <c r="K9" s="23">
        <v>10.7</v>
      </c>
      <c r="L9" s="23">
        <v>10.7</v>
      </c>
      <c r="M9" s="23">
        <v>10.7</v>
      </c>
      <c r="N9" s="23">
        <v>10.7</v>
      </c>
      <c r="O9" s="23">
        <v>10.7</v>
      </c>
      <c r="P9" s="23">
        <v>10.7</v>
      </c>
      <c r="Q9" s="23">
        <v>10.7</v>
      </c>
      <c r="R9" s="23">
        <v>10.7</v>
      </c>
      <c r="S9" s="23">
        <v>10.7</v>
      </c>
      <c r="T9" s="23">
        <v>10.7</v>
      </c>
      <c r="U9" s="23">
        <v>10.7</v>
      </c>
      <c r="V9" s="23">
        <v>10.7</v>
      </c>
      <c r="W9" s="23">
        <v>10.7</v>
      </c>
      <c r="X9" s="23">
        <v>10.7</v>
      </c>
      <c r="Y9">
        <v>6</v>
      </c>
    </row>
    <row r="10" spans="1:25">
      <c r="A10" s="23">
        <v>11.5</v>
      </c>
      <c r="B10" s="23">
        <v>11.5</v>
      </c>
      <c r="C10" s="23">
        <v>11.5</v>
      </c>
      <c r="D10" s="23">
        <v>11.5</v>
      </c>
      <c r="E10" s="23">
        <v>11.5</v>
      </c>
      <c r="F10" s="23">
        <v>11.5</v>
      </c>
      <c r="G10" s="23">
        <v>11.5</v>
      </c>
      <c r="H10" s="23">
        <v>11.5</v>
      </c>
      <c r="I10" s="23">
        <v>11.5</v>
      </c>
      <c r="J10" s="23">
        <v>11.5</v>
      </c>
      <c r="K10" s="23">
        <v>11.5</v>
      </c>
      <c r="L10" s="23">
        <v>11.5</v>
      </c>
      <c r="M10" s="23">
        <v>11.5</v>
      </c>
      <c r="N10" s="23">
        <v>11.5</v>
      </c>
      <c r="O10" s="23">
        <v>11.5</v>
      </c>
      <c r="P10" s="23">
        <v>11.5</v>
      </c>
      <c r="Q10" s="23">
        <v>11.5</v>
      </c>
      <c r="R10" s="23">
        <v>11.5</v>
      </c>
      <c r="S10" s="23">
        <v>11.5</v>
      </c>
      <c r="T10" s="23">
        <v>11.5</v>
      </c>
      <c r="U10" s="23">
        <v>11.5</v>
      </c>
      <c r="V10" s="23">
        <v>11.5</v>
      </c>
      <c r="W10" s="23">
        <v>11.5</v>
      </c>
      <c r="X10" s="23">
        <v>11.5</v>
      </c>
      <c r="Y10">
        <v>7</v>
      </c>
    </row>
    <row r="11" spans="1:25">
      <c r="A11" s="23">
        <v>12.3</v>
      </c>
      <c r="B11" s="23">
        <v>12.3</v>
      </c>
      <c r="C11" s="23">
        <v>12.3</v>
      </c>
      <c r="D11" s="23">
        <v>12.3</v>
      </c>
      <c r="E11" s="23">
        <v>12.3</v>
      </c>
      <c r="F11" s="23">
        <v>12.3</v>
      </c>
      <c r="G11" s="23">
        <v>12.3</v>
      </c>
      <c r="H11" s="23">
        <v>12.3</v>
      </c>
      <c r="I11" s="23">
        <v>12.3</v>
      </c>
      <c r="J11" s="23">
        <v>12.3</v>
      </c>
      <c r="K11" s="23">
        <v>12.3</v>
      </c>
      <c r="L11" s="23">
        <v>12.3</v>
      </c>
      <c r="M11" s="23">
        <v>12.3</v>
      </c>
      <c r="N11" s="23">
        <v>12.3</v>
      </c>
      <c r="O11" s="23">
        <v>12.3</v>
      </c>
      <c r="P11" s="23">
        <v>12.3</v>
      </c>
      <c r="Q11" s="23">
        <v>12.3</v>
      </c>
      <c r="R11" s="23">
        <v>12.3</v>
      </c>
      <c r="S11" s="23">
        <v>12.3</v>
      </c>
      <c r="T11" s="23">
        <v>12.3</v>
      </c>
      <c r="U11" s="23">
        <v>12.3</v>
      </c>
      <c r="V11" s="23">
        <v>12.3</v>
      </c>
      <c r="W11" s="23">
        <v>12.3</v>
      </c>
      <c r="X11" s="23">
        <v>12.3</v>
      </c>
      <c r="Y11">
        <v>8</v>
      </c>
    </row>
    <row r="12" spans="1:25">
      <c r="A12" s="23">
        <v>13.1</v>
      </c>
      <c r="B12" s="23">
        <v>13.1</v>
      </c>
      <c r="C12" s="23">
        <v>13.1</v>
      </c>
      <c r="D12" s="23">
        <v>13.1</v>
      </c>
      <c r="E12" s="23">
        <v>13.1</v>
      </c>
      <c r="F12" s="23">
        <v>13.1</v>
      </c>
      <c r="G12" s="23">
        <v>13.1</v>
      </c>
      <c r="H12" s="23">
        <v>13.1</v>
      </c>
      <c r="I12" s="23">
        <v>13.1</v>
      </c>
      <c r="J12" s="23">
        <v>13.1</v>
      </c>
      <c r="K12" s="23">
        <v>13.1</v>
      </c>
      <c r="L12" s="23">
        <v>13.1</v>
      </c>
      <c r="M12" s="23">
        <v>13.1</v>
      </c>
      <c r="N12" s="23">
        <v>13.1</v>
      </c>
      <c r="O12" s="23">
        <v>13.1</v>
      </c>
      <c r="P12" s="23">
        <v>13.1</v>
      </c>
      <c r="Q12" s="23">
        <v>13.1</v>
      </c>
      <c r="R12" s="23">
        <v>13.1</v>
      </c>
      <c r="S12" s="23">
        <v>13.1</v>
      </c>
      <c r="T12" s="23">
        <v>13.1</v>
      </c>
      <c r="U12" s="23">
        <v>13.1</v>
      </c>
      <c r="V12" s="23">
        <v>13.1</v>
      </c>
      <c r="W12" s="23">
        <v>13.1</v>
      </c>
      <c r="X12" s="23">
        <v>13.1</v>
      </c>
      <c r="Y12">
        <v>9</v>
      </c>
    </row>
    <row r="13" spans="1:25">
      <c r="A13" s="23">
        <v>60</v>
      </c>
      <c r="B13" s="23">
        <v>60</v>
      </c>
      <c r="C13" s="23">
        <v>60</v>
      </c>
      <c r="D13" s="23">
        <v>60</v>
      </c>
      <c r="E13" s="23">
        <v>60</v>
      </c>
      <c r="F13" s="23">
        <v>60</v>
      </c>
      <c r="G13" s="23">
        <v>60</v>
      </c>
      <c r="H13" s="23">
        <v>60</v>
      </c>
      <c r="I13" s="23">
        <v>60</v>
      </c>
      <c r="J13" s="23">
        <v>60</v>
      </c>
      <c r="K13" s="23">
        <v>60</v>
      </c>
      <c r="L13" s="23">
        <v>60</v>
      </c>
      <c r="M13" s="23">
        <v>60</v>
      </c>
      <c r="N13" s="23">
        <v>60</v>
      </c>
      <c r="O13" s="23">
        <v>60</v>
      </c>
      <c r="P13" s="23">
        <v>60</v>
      </c>
      <c r="Q13" s="23">
        <v>60</v>
      </c>
      <c r="R13" s="23">
        <v>60</v>
      </c>
      <c r="S13" s="23">
        <v>60</v>
      </c>
      <c r="T13" s="23">
        <v>60</v>
      </c>
      <c r="U13" s="23">
        <v>60</v>
      </c>
      <c r="V13" s="23">
        <v>60</v>
      </c>
      <c r="W13" s="23">
        <v>60</v>
      </c>
      <c r="X13" s="23">
        <v>60</v>
      </c>
      <c r="Y13">
        <v>10</v>
      </c>
    </row>
    <row r="14" spans="1: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5">
      <c r="A15" t="s">
        <v>21</v>
      </c>
    </row>
    <row r="16" spans="1:25">
      <c r="Y16" t="s">
        <v>16</v>
      </c>
    </row>
    <row r="17" spans="1:25">
      <c r="A17" s="23">
        <v>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>
        <v>0</v>
      </c>
    </row>
    <row r="18" spans="1:25">
      <c r="A18" s="23">
        <v>8.4</v>
      </c>
      <c r="B18" s="23">
        <v>8.4</v>
      </c>
      <c r="C18" s="23">
        <v>8.4</v>
      </c>
      <c r="D18" s="23">
        <v>8.4</v>
      </c>
      <c r="E18" s="23">
        <v>8.4</v>
      </c>
      <c r="F18" s="23">
        <v>8.4</v>
      </c>
      <c r="G18" s="23">
        <v>8.4</v>
      </c>
      <c r="H18" s="23">
        <v>8.4</v>
      </c>
      <c r="I18" s="23">
        <v>8.4</v>
      </c>
      <c r="J18" s="23">
        <v>8.4</v>
      </c>
      <c r="K18" s="23">
        <v>8.4</v>
      </c>
      <c r="L18" s="23">
        <v>8.4</v>
      </c>
      <c r="M18" s="23">
        <v>8.4</v>
      </c>
      <c r="N18" s="23">
        <v>8.4</v>
      </c>
      <c r="O18" s="23">
        <v>8.4</v>
      </c>
      <c r="P18" s="23">
        <v>8.4</v>
      </c>
      <c r="Q18" s="23">
        <v>8.4</v>
      </c>
      <c r="R18" s="23">
        <v>8.4</v>
      </c>
      <c r="S18" s="23">
        <v>8.4</v>
      </c>
      <c r="T18" s="23">
        <v>8.4</v>
      </c>
      <c r="U18" s="23">
        <v>8.4</v>
      </c>
      <c r="V18" s="23">
        <v>8.4</v>
      </c>
      <c r="W18" s="23">
        <v>8.4</v>
      </c>
      <c r="X18" s="23">
        <v>8.4</v>
      </c>
      <c r="Y18">
        <v>1</v>
      </c>
    </row>
    <row r="19" spans="1:25">
      <c r="A19" s="23">
        <v>8.8000000000000007</v>
      </c>
      <c r="B19" s="23">
        <v>8.8000000000000007</v>
      </c>
      <c r="C19" s="23">
        <v>8.8000000000000007</v>
      </c>
      <c r="D19" s="23">
        <v>8.8000000000000007</v>
      </c>
      <c r="E19" s="23">
        <v>8.8000000000000007</v>
      </c>
      <c r="F19" s="23">
        <v>8.8000000000000007</v>
      </c>
      <c r="G19" s="23">
        <v>8.8000000000000007</v>
      </c>
      <c r="H19" s="23">
        <v>8.8000000000000007</v>
      </c>
      <c r="I19" s="23">
        <v>8.8000000000000007</v>
      </c>
      <c r="J19" s="23">
        <v>8.8000000000000007</v>
      </c>
      <c r="K19" s="23">
        <v>8.8000000000000007</v>
      </c>
      <c r="L19" s="23">
        <v>8.8000000000000007</v>
      </c>
      <c r="M19" s="23">
        <v>8.8000000000000007</v>
      </c>
      <c r="N19" s="23">
        <v>8.8000000000000007</v>
      </c>
      <c r="O19" s="23">
        <v>8.8000000000000007</v>
      </c>
      <c r="P19" s="23">
        <v>8.8000000000000007</v>
      </c>
      <c r="Q19" s="23">
        <v>8.8000000000000007</v>
      </c>
      <c r="R19" s="23">
        <v>8.8000000000000007</v>
      </c>
      <c r="S19" s="23">
        <v>8.8000000000000007</v>
      </c>
      <c r="T19" s="23">
        <v>8.8000000000000007</v>
      </c>
      <c r="U19" s="23">
        <v>8.8000000000000007</v>
      </c>
      <c r="V19" s="23">
        <v>8.8000000000000007</v>
      </c>
      <c r="W19" s="23">
        <v>8.8000000000000007</v>
      </c>
      <c r="X19" s="23">
        <v>8.8000000000000007</v>
      </c>
      <c r="Y19">
        <v>2</v>
      </c>
    </row>
    <row r="20" spans="1:25">
      <c r="A20" s="23">
        <v>9.1999999999999993</v>
      </c>
      <c r="B20" s="23">
        <v>9.1999999999999993</v>
      </c>
      <c r="C20" s="23">
        <v>9.1999999999999993</v>
      </c>
      <c r="D20" s="23">
        <v>9.1999999999999993</v>
      </c>
      <c r="E20" s="23">
        <v>9.1999999999999993</v>
      </c>
      <c r="F20" s="23">
        <v>9.1999999999999993</v>
      </c>
      <c r="G20" s="23">
        <v>9.1999999999999993</v>
      </c>
      <c r="H20" s="23">
        <v>9.1999999999999993</v>
      </c>
      <c r="I20" s="23">
        <v>9.1999999999999993</v>
      </c>
      <c r="J20" s="23">
        <v>9.1999999999999993</v>
      </c>
      <c r="K20" s="23">
        <v>9.1999999999999993</v>
      </c>
      <c r="L20" s="23">
        <v>9.1999999999999993</v>
      </c>
      <c r="M20" s="23">
        <v>9.1999999999999993</v>
      </c>
      <c r="N20" s="23">
        <v>9.1999999999999993</v>
      </c>
      <c r="O20" s="23">
        <v>9.1999999999999993</v>
      </c>
      <c r="P20" s="23">
        <v>9.1999999999999993</v>
      </c>
      <c r="Q20" s="23">
        <v>9.1999999999999993</v>
      </c>
      <c r="R20" s="23">
        <v>9.1999999999999993</v>
      </c>
      <c r="S20" s="23">
        <v>9.1999999999999993</v>
      </c>
      <c r="T20" s="23">
        <v>9.1999999999999993</v>
      </c>
      <c r="U20" s="23">
        <v>9.1999999999999993</v>
      </c>
      <c r="V20" s="23">
        <v>9.1999999999999993</v>
      </c>
      <c r="W20" s="23">
        <v>9.1999999999999993</v>
      </c>
      <c r="X20" s="23">
        <v>9.1999999999999993</v>
      </c>
      <c r="Y20">
        <v>3</v>
      </c>
    </row>
    <row r="21" spans="1:25">
      <c r="A21" s="23">
        <v>9.6999999999999993</v>
      </c>
      <c r="B21" s="23">
        <v>9.6999999999999993</v>
      </c>
      <c r="C21" s="23">
        <v>9.6999999999999993</v>
      </c>
      <c r="D21" s="23">
        <v>9.6999999999999993</v>
      </c>
      <c r="E21" s="23">
        <v>9.6999999999999993</v>
      </c>
      <c r="F21" s="23">
        <v>9.6999999999999993</v>
      </c>
      <c r="G21" s="23">
        <v>9.6999999999999993</v>
      </c>
      <c r="H21" s="23">
        <v>9.6999999999999993</v>
      </c>
      <c r="I21" s="23">
        <v>9.6999999999999993</v>
      </c>
      <c r="J21" s="23">
        <v>9.6999999999999993</v>
      </c>
      <c r="K21" s="23">
        <v>9.6999999999999993</v>
      </c>
      <c r="L21" s="23">
        <v>9.6999999999999993</v>
      </c>
      <c r="M21" s="23">
        <v>9.6999999999999993</v>
      </c>
      <c r="N21" s="23">
        <v>9.6999999999999993</v>
      </c>
      <c r="O21" s="23">
        <v>9.6999999999999993</v>
      </c>
      <c r="P21" s="23">
        <v>9.6999999999999993</v>
      </c>
      <c r="Q21" s="23">
        <v>9.6999999999999993</v>
      </c>
      <c r="R21" s="23">
        <v>9.6999999999999993</v>
      </c>
      <c r="S21" s="23">
        <v>9.6999999999999993</v>
      </c>
      <c r="T21" s="23">
        <v>9.6999999999999993</v>
      </c>
      <c r="U21" s="23">
        <v>9.6999999999999993</v>
      </c>
      <c r="V21" s="23">
        <v>9.6999999999999993</v>
      </c>
      <c r="W21" s="23">
        <v>9.6999999999999993</v>
      </c>
      <c r="X21" s="23">
        <v>9.6999999999999993</v>
      </c>
      <c r="Y21">
        <v>4</v>
      </c>
    </row>
    <row r="22" spans="1:25">
      <c r="A22" s="23">
        <v>10.3</v>
      </c>
      <c r="B22" s="23">
        <v>10.3</v>
      </c>
      <c r="C22" s="23">
        <v>10.3</v>
      </c>
      <c r="D22" s="23">
        <v>10.3</v>
      </c>
      <c r="E22" s="23">
        <v>10.3</v>
      </c>
      <c r="F22" s="23">
        <v>10.3</v>
      </c>
      <c r="G22" s="23">
        <v>10.3</v>
      </c>
      <c r="H22" s="23">
        <v>10.3</v>
      </c>
      <c r="I22" s="23">
        <v>10.3</v>
      </c>
      <c r="J22" s="23">
        <v>10.3</v>
      </c>
      <c r="K22" s="23">
        <v>10.3</v>
      </c>
      <c r="L22" s="23">
        <v>10.3</v>
      </c>
      <c r="M22" s="23">
        <v>10.3</v>
      </c>
      <c r="N22" s="23">
        <v>10.3</v>
      </c>
      <c r="O22" s="23">
        <v>10.3</v>
      </c>
      <c r="P22" s="23">
        <v>10.3</v>
      </c>
      <c r="Q22" s="23">
        <v>10.3</v>
      </c>
      <c r="R22" s="23">
        <v>10.3</v>
      </c>
      <c r="S22" s="23">
        <v>10.3</v>
      </c>
      <c r="T22" s="23">
        <v>10.3</v>
      </c>
      <c r="U22" s="23">
        <v>10.3</v>
      </c>
      <c r="V22" s="23">
        <v>10.3</v>
      </c>
      <c r="W22" s="23">
        <v>10.3</v>
      </c>
      <c r="X22" s="23">
        <v>10.3</v>
      </c>
      <c r="Y22">
        <v>5</v>
      </c>
    </row>
    <row r="23" spans="1:25">
      <c r="A23" s="23">
        <v>11</v>
      </c>
      <c r="B23" s="23">
        <v>11</v>
      </c>
      <c r="C23" s="23">
        <v>11</v>
      </c>
      <c r="D23" s="23">
        <v>11</v>
      </c>
      <c r="E23" s="23">
        <v>11</v>
      </c>
      <c r="F23" s="23">
        <v>11</v>
      </c>
      <c r="G23" s="23">
        <v>11</v>
      </c>
      <c r="H23" s="23">
        <v>11</v>
      </c>
      <c r="I23" s="23">
        <v>11</v>
      </c>
      <c r="J23" s="23">
        <v>11</v>
      </c>
      <c r="K23" s="23">
        <v>11</v>
      </c>
      <c r="L23" s="23">
        <v>11</v>
      </c>
      <c r="M23" s="23">
        <v>11</v>
      </c>
      <c r="N23" s="23">
        <v>11</v>
      </c>
      <c r="O23" s="23">
        <v>11</v>
      </c>
      <c r="P23" s="23">
        <v>11</v>
      </c>
      <c r="Q23" s="23">
        <v>11</v>
      </c>
      <c r="R23" s="23">
        <v>11</v>
      </c>
      <c r="S23" s="23">
        <v>11</v>
      </c>
      <c r="T23" s="23">
        <v>11</v>
      </c>
      <c r="U23" s="23">
        <v>11</v>
      </c>
      <c r="V23" s="23">
        <v>11</v>
      </c>
      <c r="W23" s="23">
        <v>11</v>
      </c>
      <c r="X23" s="23">
        <v>11</v>
      </c>
      <c r="Y23">
        <v>6</v>
      </c>
    </row>
    <row r="24" spans="1:25">
      <c r="A24" s="23">
        <v>11.7</v>
      </c>
      <c r="B24" s="23">
        <v>11.7</v>
      </c>
      <c r="C24" s="23">
        <v>11.7</v>
      </c>
      <c r="D24" s="23">
        <v>11.7</v>
      </c>
      <c r="E24" s="23">
        <v>11.7</v>
      </c>
      <c r="F24" s="23">
        <v>11.7</v>
      </c>
      <c r="G24" s="23">
        <v>11.7</v>
      </c>
      <c r="H24" s="23">
        <v>11.7</v>
      </c>
      <c r="I24" s="23">
        <v>11.7</v>
      </c>
      <c r="J24" s="23">
        <v>11.7</v>
      </c>
      <c r="K24" s="23">
        <v>11.7</v>
      </c>
      <c r="L24" s="23">
        <v>11.7</v>
      </c>
      <c r="M24" s="23">
        <v>11.7</v>
      </c>
      <c r="N24" s="23">
        <v>11.7</v>
      </c>
      <c r="O24" s="23">
        <v>11.7</v>
      </c>
      <c r="P24" s="23">
        <v>11.7</v>
      </c>
      <c r="Q24" s="23">
        <v>11.7</v>
      </c>
      <c r="R24" s="23">
        <v>11.7</v>
      </c>
      <c r="S24" s="23">
        <v>11.7</v>
      </c>
      <c r="T24" s="23">
        <v>11.7</v>
      </c>
      <c r="U24" s="23">
        <v>11.7</v>
      </c>
      <c r="V24" s="23">
        <v>11.7</v>
      </c>
      <c r="W24" s="23">
        <v>11.7</v>
      </c>
      <c r="X24" s="23">
        <v>11.7</v>
      </c>
      <c r="Y24">
        <v>7</v>
      </c>
    </row>
    <row r="25" spans="1:25">
      <c r="A25" s="23">
        <v>12.5</v>
      </c>
      <c r="B25" s="23">
        <v>12.5</v>
      </c>
      <c r="C25" s="23">
        <v>12.5</v>
      </c>
      <c r="D25" s="23">
        <v>12.5</v>
      </c>
      <c r="E25" s="23">
        <v>12.5</v>
      </c>
      <c r="F25" s="23">
        <v>12.5</v>
      </c>
      <c r="G25" s="23">
        <v>12.5</v>
      </c>
      <c r="H25" s="23">
        <v>12.5</v>
      </c>
      <c r="I25" s="23">
        <v>12.5</v>
      </c>
      <c r="J25" s="23">
        <v>12.5</v>
      </c>
      <c r="K25" s="23">
        <v>12.5</v>
      </c>
      <c r="L25" s="23">
        <v>12.5</v>
      </c>
      <c r="M25" s="23">
        <v>12.5</v>
      </c>
      <c r="N25" s="23">
        <v>12.5</v>
      </c>
      <c r="O25" s="23">
        <v>12.5</v>
      </c>
      <c r="P25" s="23">
        <v>12.5</v>
      </c>
      <c r="Q25" s="23">
        <v>12.5</v>
      </c>
      <c r="R25" s="23">
        <v>12.5</v>
      </c>
      <c r="S25" s="23">
        <v>12.5</v>
      </c>
      <c r="T25" s="23">
        <v>12.5</v>
      </c>
      <c r="U25" s="23">
        <v>12.5</v>
      </c>
      <c r="V25" s="23">
        <v>12.5</v>
      </c>
      <c r="W25" s="23">
        <v>12.5</v>
      </c>
      <c r="X25" s="23">
        <v>12.5</v>
      </c>
      <c r="Y25">
        <v>8</v>
      </c>
    </row>
    <row r="26" spans="1:25">
      <c r="A26" s="23">
        <v>13.3</v>
      </c>
      <c r="B26" s="23">
        <v>13.3</v>
      </c>
      <c r="C26" s="23">
        <v>13.3</v>
      </c>
      <c r="D26" s="23">
        <v>13.3</v>
      </c>
      <c r="E26" s="23">
        <v>13.3</v>
      </c>
      <c r="F26" s="23">
        <v>13.3</v>
      </c>
      <c r="G26" s="23">
        <v>13.3</v>
      </c>
      <c r="H26" s="23">
        <v>13.3</v>
      </c>
      <c r="I26" s="23">
        <v>13.3</v>
      </c>
      <c r="J26" s="23">
        <v>13.3</v>
      </c>
      <c r="K26" s="23">
        <v>13.3</v>
      </c>
      <c r="L26" s="23">
        <v>13.3</v>
      </c>
      <c r="M26" s="23">
        <v>13.3</v>
      </c>
      <c r="N26" s="23">
        <v>13.3</v>
      </c>
      <c r="O26" s="23">
        <v>13.3</v>
      </c>
      <c r="P26" s="23">
        <v>13.3</v>
      </c>
      <c r="Q26" s="23">
        <v>13.3</v>
      </c>
      <c r="R26" s="23">
        <v>13.3</v>
      </c>
      <c r="S26" s="23">
        <v>13.3</v>
      </c>
      <c r="T26" s="23">
        <v>13.3</v>
      </c>
      <c r="U26" s="23">
        <v>13.3</v>
      </c>
      <c r="V26" s="23">
        <v>13.3</v>
      </c>
      <c r="W26" s="23">
        <v>13.3</v>
      </c>
      <c r="X26" s="23">
        <v>13.3</v>
      </c>
      <c r="Y26">
        <v>9</v>
      </c>
    </row>
    <row r="27" spans="1:25">
      <c r="A27" s="23">
        <v>60</v>
      </c>
      <c r="B27" s="23">
        <v>60</v>
      </c>
      <c r="C27" s="23">
        <v>60</v>
      </c>
      <c r="D27" s="23">
        <v>60</v>
      </c>
      <c r="E27" s="23">
        <v>60</v>
      </c>
      <c r="F27" s="23">
        <v>60</v>
      </c>
      <c r="G27" s="23">
        <v>60</v>
      </c>
      <c r="H27" s="23">
        <v>60</v>
      </c>
      <c r="I27" s="23">
        <v>60</v>
      </c>
      <c r="J27" s="23">
        <v>60</v>
      </c>
      <c r="K27" s="23">
        <v>60</v>
      </c>
      <c r="L27" s="23">
        <v>60</v>
      </c>
      <c r="M27" s="23">
        <v>60</v>
      </c>
      <c r="N27" s="23">
        <v>60</v>
      </c>
      <c r="O27" s="23">
        <v>60</v>
      </c>
      <c r="P27" s="23">
        <v>60</v>
      </c>
      <c r="Q27" s="23">
        <v>60</v>
      </c>
      <c r="R27" s="23">
        <v>60</v>
      </c>
      <c r="S27" s="23">
        <v>60</v>
      </c>
      <c r="T27" s="23">
        <v>60</v>
      </c>
      <c r="U27" s="23">
        <v>60</v>
      </c>
      <c r="V27" s="23">
        <v>60</v>
      </c>
      <c r="W27" s="23">
        <v>60</v>
      </c>
      <c r="X27" s="23">
        <v>60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Y27"/>
  <sheetViews>
    <sheetView workbookViewId="0">
      <selection activeCell="T10" sqref="T10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>
        <v>93</v>
      </c>
      <c r="B5">
        <v>93</v>
      </c>
      <c r="C5">
        <v>93</v>
      </c>
      <c r="D5">
        <v>93</v>
      </c>
      <c r="E5">
        <v>93</v>
      </c>
      <c r="F5">
        <v>93</v>
      </c>
      <c r="G5">
        <v>93</v>
      </c>
      <c r="H5">
        <v>93</v>
      </c>
      <c r="I5">
        <v>93</v>
      </c>
      <c r="J5">
        <v>93</v>
      </c>
      <c r="K5">
        <v>93</v>
      </c>
      <c r="L5">
        <v>93</v>
      </c>
      <c r="M5">
        <v>93</v>
      </c>
      <c r="N5">
        <v>93</v>
      </c>
      <c r="O5">
        <v>93</v>
      </c>
      <c r="P5">
        <v>93</v>
      </c>
      <c r="Q5">
        <v>93</v>
      </c>
      <c r="R5">
        <v>93</v>
      </c>
      <c r="S5">
        <v>93</v>
      </c>
      <c r="T5">
        <v>93</v>
      </c>
      <c r="U5">
        <v>93</v>
      </c>
      <c r="V5">
        <v>93</v>
      </c>
      <c r="W5">
        <v>93</v>
      </c>
      <c r="X5">
        <v>93</v>
      </c>
      <c r="Y5">
        <v>2</v>
      </c>
    </row>
    <row r="6" spans="1:25">
      <c r="A6">
        <v>105</v>
      </c>
      <c r="B6">
        <v>105</v>
      </c>
      <c r="C6">
        <v>105</v>
      </c>
      <c r="D6">
        <v>105</v>
      </c>
      <c r="E6">
        <v>105</v>
      </c>
      <c r="F6">
        <v>105</v>
      </c>
      <c r="G6">
        <v>105</v>
      </c>
      <c r="H6">
        <v>105</v>
      </c>
      <c r="I6">
        <v>105</v>
      </c>
      <c r="J6">
        <v>105</v>
      </c>
      <c r="K6">
        <v>105</v>
      </c>
      <c r="L6">
        <v>105</v>
      </c>
      <c r="M6">
        <v>105</v>
      </c>
      <c r="N6">
        <v>105</v>
      </c>
      <c r="O6">
        <v>105</v>
      </c>
      <c r="P6">
        <v>105</v>
      </c>
      <c r="Q6">
        <v>105</v>
      </c>
      <c r="R6">
        <v>105</v>
      </c>
      <c r="S6">
        <v>105</v>
      </c>
      <c r="T6">
        <v>105</v>
      </c>
      <c r="U6">
        <v>105</v>
      </c>
      <c r="V6">
        <v>105</v>
      </c>
      <c r="W6">
        <v>105</v>
      </c>
      <c r="X6">
        <v>105</v>
      </c>
      <c r="Y6">
        <v>3</v>
      </c>
    </row>
    <row r="7" spans="1:25">
      <c r="A7">
        <v>117</v>
      </c>
      <c r="B7">
        <v>117</v>
      </c>
      <c r="C7">
        <v>117</v>
      </c>
      <c r="D7">
        <v>117</v>
      </c>
      <c r="E7">
        <v>117</v>
      </c>
      <c r="F7">
        <v>117</v>
      </c>
      <c r="G7">
        <v>117</v>
      </c>
      <c r="H7">
        <v>117</v>
      </c>
      <c r="I7">
        <v>117</v>
      </c>
      <c r="J7">
        <v>117</v>
      </c>
      <c r="K7">
        <v>117</v>
      </c>
      <c r="L7">
        <v>117</v>
      </c>
      <c r="M7">
        <v>117</v>
      </c>
      <c r="N7">
        <v>117</v>
      </c>
      <c r="O7">
        <v>117</v>
      </c>
      <c r="P7">
        <v>117</v>
      </c>
      <c r="Q7">
        <v>117</v>
      </c>
      <c r="R7">
        <v>117</v>
      </c>
      <c r="S7">
        <v>117</v>
      </c>
      <c r="T7">
        <v>117</v>
      </c>
      <c r="U7">
        <v>117</v>
      </c>
      <c r="V7">
        <v>117</v>
      </c>
      <c r="W7">
        <v>117</v>
      </c>
      <c r="X7">
        <v>117</v>
      </c>
      <c r="Y7">
        <v>4</v>
      </c>
    </row>
    <row r="8" spans="1:25">
      <c r="A8">
        <v>130</v>
      </c>
      <c r="B8">
        <v>130</v>
      </c>
      <c r="C8">
        <v>130</v>
      </c>
      <c r="D8">
        <v>130</v>
      </c>
      <c r="E8">
        <v>130</v>
      </c>
      <c r="F8">
        <v>130</v>
      </c>
      <c r="G8">
        <v>130</v>
      </c>
      <c r="H8">
        <v>130</v>
      </c>
      <c r="I8">
        <v>130</v>
      </c>
      <c r="J8">
        <v>130</v>
      </c>
      <c r="K8">
        <v>130</v>
      </c>
      <c r="L8">
        <v>130</v>
      </c>
      <c r="M8">
        <v>130</v>
      </c>
      <c r="N8">
        <v>130</v>
      </c>
      <c r="O8">
        <v>130</v>
      </c>
      <c r="P8">
        <v>130</v>
      </c>
      <c r="Q8">
        <v>130</v>
      </c>
      <c r="R8">
        <v>130</v>
      </c>
      <c r="S8">
        <v>130</v>
      </c>
      <c r="T8">
        <v>130</v>
      </c>
      <c r="U8">
        <v>130</v>
      </c>
      <c r="V8">
        <v>130</v>
      </c>
      <c r="W8">
        <v>130</v>
      </c>
      <c r="X8">
        <v>130</v>
      </c>
      <c r="Y8">
        <v>5</v>
      </c>
    </row>
    <row r="9" spans="1:25">
      <c r="A9">
        <v>143</v>
      </c>
      <c r="B9">
        <v>143</v>
      </c>
      <c r="C9">
        <v>143</v>
      </c>
      <c r="D9">
        <v>143</v>
      </c>
      <c r="E9">
        <v>143</v>
      </c>
      <c r="F9">
        <v>143</v>
      </c>
      <c r="G9">
        <v>143</v>
      </c>
      <c r="H9">
        <v>143</v>
      </c>
      <c r="I9">
        <v>143</v>
      </c>
      <c r="J9">
        <v>143</v>
      </c>
      <c r="K9">
        <v>143</v>
      </c>
      <c r="L9">
        <v>143</v>
      </c>
      <c r="M9">
        <v>143</v>
      </c>
      <c r="N9">
        <v>143</v>
      </c>
      <c r="O9">
        <v>143</v>
      </c>
      <c r="P9">
        <v>143</v>
      </c>
      <c r="Q9">
        <v>143</v>
      </c>
      <c r="R9">
        <v>143</v>
      </c>
      <c r="S9">
        <v>143</v>
      </c>
      <c r="T9">
        <v>143</v>
      </c>
      <c r="U9">
        <v>143</v>
      </c>
      <c r="V9">
        <v>143</v>
      </c>
      <c r="W9">
        <v>143</v>
      </c>
      <c r="X9">
        <v>143</v>
      </c>
      <c r="Y9">
        <v>6</v>
      </c>
    </row>
    <row r="10" spans="1:25">
      <c r="A10">
        <v>156</v>
      </c>
      <c r="B10">
        <v>156</v>
      </c>
      <c r="C10">
        <v>156</v>
      </c>
      <c r="D10">
        <v>156</v>
      </c>
      <c r="E10">
        <v>156</v>
      </c>
      <c r="F10">
        <v>156</v>
      </c>
      <c r="G10">
        <v>156</v>
      </c>
      <c r="H10">
        <v>156</v>
      </c>
      <c r="I10">
        <v>156</v>
      </c>
      <c r="J10">
        <v>156</v>
      </c>
      <c r="K10">
        <v>156</v>
      </c>
      <c r="L10">
        <v>156</v>
      </c>
      <c r="M10">
        <v>156</v>
      </c>
      <c r="N10">
        <v>156</v>
      </c>
      <c r="O10">
        <v>156</v>
      </c>
      <c r="P10">
        <v>156</v>
      </c>
      <c r="Q10">
        <v>156</v>
      </c>
      <c r="R10">
        <v>156</v>
      </c>
      <c r="S10">
        <v>156</v>
      </c>
      <c r="T10">
        <v>156</v>
      </c>
      <c r="U10">
        <v>156</v>
      </c>
      <c r="V10">
        <v>156</v>
      </c>
      <c r="W10">
        <v>156</v>
      </c>
      <c r="X10">
        <v>156</v>
      </c>
      <c r="Y10">
        <v>7</v>
      </c>
    </row>
    <row r="11" spans="1:25">
      <c r="A11">
        <v>168</v>
      </c>
      <c r="B11">
        <v>168</v>
      </c>
      <c r="C11">
        <v>168</v>
      </c>
      <c r="D11">
        <v>168</v>
      </c>
      <c r="E11">
        <v>168</v>
      </c>
      <c r="F11">
        <v>168</v>
      </c>
      <c r="G11">
        <v>168</v>
      </c>
      <c r="H11">
        <v>168</v>
      </c>
      <c r="I11">
        <v>168</v>
      </c>
      <c r="J11">
        <v>168</v>
      </c>
      <c r="K11">
        <v>168</v>
      </c>
      <c r="L11">
        <v>168</v>
      </c>
      <c r="M11">
        <v>168</v>
      </c>
      <c r="N11">
        <v>168</v>
      </c>
      <c r="O11">
        <v>168</v>
      </c>
      <c r="P11">
        <v>168</v>
      </c>
      <c r="Q11">
        <v>168</v>
      </c>
      <c r="R11">
        <v>168</v>
      </c>
      <c r="S11">
        <v>168</v>
      </c>
      <c r="T11">
        <v>168</v>
      </c>
      <c r="U11">
        <v>168</v>
      </c>
      <c r="V11">
        <v>168</v>
      </c>
      <c r="W11">
        <v>168</v>
      </c>
      <c r="X11">
        <v>168</v>
      </c>
      <c r="Y11">
        <v>8</v>
      </c>
    </row>
    <row r="12" spans="1:25">
      <c r="A12">
        <v>180</v>
      </c>
      <c r="B12">
        <v>180</v>
      </c>
      <c r="C12">
        <v>180</v>
      </c>
      <c r="D12">
        <v>180</v>
      </c>
      <c r="E12">
        <v>180</v>
      </c>
      <c r="F12">
        <v>180</v>
      </c>
      <c r="G12">
        <v>180</v>
      </c>
      <c r="H12">
        <v>180</v>
      </c>
      <c r="I12">
        <v>180</v>
      </c>
      <c r="J12">
        <v>180</v>
      </c>
      <c r="K12">
        <v>180</v>
      </c>
      <c r="L12">
        <v>180</v>
      </c>
      <c r="M12">
        <v>180</v>
      </c>
      <c r="N12">
        <v>180</v>
      </c>
      <c r="O12">
        <v>180</v>
      </c>
      <c r="P12">
        <v>180</v>
      </c>
      <c r="Q12">
        <v>180</v>
      </c>
      <c r="R12">
        <v>180</v>
      </c>
      <c r="S12">
        <v>180</v>
      </c>
      <c r="T12">
        <v>180</v>
      </c>
      <c r="U12">
        <v>180</v>
      </c>
      <c r="V12">
        <v>180</v>
      </c>
      <c r="W12">
        <v>180</v>
      </c>
      <c r="X12">
        <v>180</v>
      </c>
      <c r="Y12">
        <v>9</v>
      </c>
    </row>
    <row r="13" spans="1:25">
      <c r="A13">
        <v>192</v>
      </c>
      <c r="B13">
        <v>192</v>
      </c>
      <c r="C13">
        <v>192</v>
      </c>
      <c r="D13">
        <v>192</v>
      </c>
      <c r="E13">
        <v>192</v>
      </c>
      <c r="F13">
        <v>192</v>
      </c>
      <c r="G13">
        <v>192</v>
      </c>
      <c r="H13">
        <v>192</v>
      </c>
      <c r="I13">
        <v>192</v>
      </c>
      <c r="J13">
        <v>192</v>
      </c>
      <c r="K13">
        <v>192</v>
      </c>
      <c r="L13">
        <v>192</v>
      </c>
      <c r="M13">
        <v>192</v>
      </c>
      <c r="N13">
        <v>192</v>
      </c>
      <c r="O13">
        <v>192</v>
      </c>
      <c r="P13">
        <v>192</v>
      </c>
      <c r="Q13">
        <v>192</v>
      </c>
      <c r="R13">
        <v>192</v>
      </c>
      <c r="S13">
        <v>192</v>
      </c>
      <c r="T13">
        <v>192</v>
      </c>
      <c r="U13">
        <v>192</v>
      </c>
      <c r="V13">
        <v>192</v>
      </c>
      <c r="W13">
        <v>192</v>
      </c>
      <c r="X13">
        <v>192</v>
      </c>
      <c r="Y13">
        <v>10</v>
      </c>
    </row>
    <row r="15" spans="1:25">
      <c r="A15" t="s">
        <v>21</v>
      </c>
    </row>
    <row r="16" spans="1:25">
      <c r="Y16" t="s">
        <v>16</v>
      </c>
    </row>
    <row r="17" spans="1:25">
      <c r="Y17">
        <v>0</v>
      </c>
    </row>
    <row r="18" spans="1: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>
        <v>85</v>
      </c>
      <c r="B19">
        <v>85</v>
      </c>
      <c r="C19">
        <v>85</v>
      </c>
      <c r="D19">
        <v>85</v>
      </c>
      <c r="E19">
        <v>85</v>
      </c>
      <c r="F19">
        <v>85</v>
      </c>
      <c r="G19">
        <v>85</v>
      </c>
      <c r="H19">
        <v>85</v>
      </c>
      <c r="I19">
        <v>85</v>
      </c>
      <c r="J19">
        <v>85</v>
      </c>
      <c r="K19">
        <v>85</v>
      </c>
      <c r="L19">
        <v>85</v>
      </c>
      <c r="M19">
        <v>85</v>
      </c>
      <c r="N19">
        <v>85</v>
      </c>
      <c r="O19">
        <v>85</v>
      </c>
      <c r="P19">
        <v>85</v>
      </c>
      <c r="Q19">
        <v>85</v>
      </c>
      <c r="R19">
        <v>85</v>
      </c>
      <c r="S19">
        <v>85</v>
      </c>
      <c r="T19">
        <v>85</v>
      </c>
      <c r="U19">
        <v>85</v>
      </c>
      <c r="V19">
        <v>85</v>
      </c>
      <c r="W19">
        <v>85</v>
      </c>
      <c r="X19">
        <v>85</v>
      </c>
      <c r="Y19">
        <v>2</v>
      </c>
    </row>
    <row r="20" spans="1:25">
      <c r="A20">
        <v>98</v>
      </c>
      <c r="B20">
        <v>98</v>
      </c>
      <c r="C20">
        <v>98</v>
      </c>
      <c r="D20">
        <v>98</v>
      </c>
      <c r="E20">
        <v>98</v>
      </c>
      <c r="F20">
        <v>98</v>
      </c>
      <c r="G20">
        <v>98</v>
      </c>
      <c r="H20">
        <v>98</v>
      </c>
      <c r="I20">
        <v>98</v>
      </c>
      <c r="J20">
        <v>98</v>
      </c>
      <c r="K20">
        <v>98</v>
      </c>
      <c r="L20">
        <v>98</v>
      </c>
      <c r="M20">
        <v>98</v>
      </c>
      <c r="N20">
        <v>98</v>
      </c>
      <c r="O20">
        <v>98</v>
      </c>
      <c r="P20">
        <v>98</v>
      </c>
      <c r="Q20">
        <v>98</v>
      </c>
      <c r="R20">
        <v>98</v>
      </c>
      <c r="S20">
        <v>98</v>
      </c>
      <c r="T20">
        <v>98</v>
      </c>
      <c r="U20">
        <v>98</v>
      </c>
      <c r="V20">
        <v>98</v>
      </c>
      <c r="W20">
        <v>98</v>
      </c>
      <c r="X20">
        <v>98</v>
      </c>
      <c r="Y20">
        <v>3</v>
      </c>
    </row>
    <row r="21" spans="1:25">
      <c r="A21">
        <v>109</v>
      </c>
      <c r="B21">
        <v>109</v>
      </c>
      <c r="C21">
        <v>109</v>
      </c>
      <c r="D21">
        <v>109</v>
      </c>
      <c r="E21">
        <v>109</v>
      </c>
      <c r="F21">
        <v>109</v>
      </c>
      <c r="G21">
        <v>109</v>
      </c>
      <c r="H21">
        <v>109</v>
      </c>
      <c r="I21">
        <v>109</v>
      </c>
      <c r="J21">
        <v>109</v>
      </c>
      <c r="K21">
        <v>109</v>
      </c>
      <c r="L21">
        <v>109</v>
      </c>
      <c r="M21">
        <v>109</v>
      </c>
      <c r="N21">
        <v>109</v>
      </c>
      <c r="O21">
        <v>109</v>
      </c>
      <c r="P21">
        <v>109</v>
      </c>
      <c r="Q21">
        <v>109</v>
      </c>
      <c r="R21">
        <v>109</v>
      </c>
      <c r="S21">
        <v>109</v>
      </c>
      <c r="T21">
        <v>109</v>
      </c>
      <c r="U21">
        <v>109</v>
      </c>
      <c r="V21">
        <v>109</v>
      </c>
      <c r="W21">
        <v>109</v>
      </c>
      <c r="X21">
        <v>109</v>
      </c>
      <c r="Y21">
        <v>4</v>
      </c>
    </row>
    <row r="22" spans="1:25">
      <c r="A22">
        <v>121</v>
      </c>
      <c r="B22">
        <v>121</v>
      </c>
      <c r="C22">
        <v>121</v>
      </c>
      <c r="D22">
        <v>121</v>
      </c>
      <c r="E22">
        <v>121</v>
      </c>
      <c r="F22">
        <v>121</v>
      </c>
      <c r="G22">
        <v>121</v>
      </c>
      <c r="H22">
        <v>121</v>
      </c>
      <c r="I22">
        <v>121</v>
      </c>
      <c r="J22">
        <v>121</v>
      </c>
      <c r="K22">
        <v>121</v>
      </c>
      <c r="L22">
        <v>121</v>
      </c>
      <c r="M22">
        <v>121</v>
      </c>
      <c r="N22">
        <v>121</v>
      </c>
      <c r="O22">
        <v>121</v>
      </c>
      <c r="P22">
        <v>121</v>
      </c>
      <c r="Q22">
        <v>121</v>
      </c>
      <c r="R22">
        <v>121</v>
      </c>
      <c r="S22">
        <v>121</v>
      </c>
      <c r="T22">
        <v>121</v>
      </c>
      <c r="U22">
        <v>121</v>
      </c>
      <c r="V22">
        <v>121</v>
      </c>
      <c r="W22">
        <v>121</v>
      </c>
      <c r="X22">
        <v>121</v>
      </c>
      <c r="Y22">
        <v>5</v>
      </c>
    </row>
    <row r="23" spans="1:25">
      <c r="A23">
        <v>134</v>
      </c>
      <c r="B23">
        <v>134</v>
      </c>
      <c r="C23">
        <v>134</v>
      </c>
      <c r="D23">
        <v>134</v>
      </c>
      <c r="E23">
        <v>134</v>
      </c>
      <c r="F23">
        <v>134</v>
      </c>
      <c r="G23">
        <v>134</v>
      </c>
      <c r="H23">
        <v>134</v>
      </c>
      <c r="I23">
        <v>134</v>
      </c>
      <c r="J23">
        <v>134</v>
      </c>
      <c r="K23">
        <v>134</v>
      </c>
      <c r="L23">
        <v>134</v>
      </c>
      <c r="M23">
        <v>134</v>
      </c>
      <c r="N23">
        <v>134</v>
      </c>
      <c r="O23">
        <v>134</v>
      </c>
      <c r="P23">
        <v>134</v>
      </c>
      <c r="Q23">
        <v>134</v>
      </c>
      <c r="R23">
        <v>134</v>
      </c>
      <c r="S23">
        <v>134</v>
      </c>
      <c r="T23">
        <v>134</v>
      </c>
      <c r="U23">
        <v>134</v>
      </c>
      <c r="V23">
        <v>134</v>
      </c>
      <c r="W23">
        <v>134</v>
      </c>
      <c r="X23">
        <v>134</v>
      </c>
      <c r="Y23">
        <v>6</v>
      </c>
    </row>
    <row r="24" spans="1:25">
      <c r="A24">
        <v>147</v>
      </c>
      <c r="B24">
        <v>147</v>
      </c>
      <c r="C24">
        <v>147</v>
      </c>
      <c r="D24">
        <v>147</v>
      </c>
      <c r="E24">
        <v>147</v>
      </c>
      <c r="F24">
        <v>147</v>
      </c>
      <c r="G24">
        <v>147</v>
      </c>
      <c r="H24">
        <v>147</v>
      </c>
      <c r="I24">
        <v>147</v>
      </c>
      <c r="J24">
        <v>147</v>
      </c>
      <c r="K24">
        <v>147</v>
      </c>
      <c r="L24">
        <v>147</v>
      </c>
      <c r="M24">
        <v>147</v>
      </c>
      <c r="N24">
        <v>147</v>
      </c>
      <c r="O24">
        <v>147</v>
      </c>
      <c r="P24">
        <v>147</v>
      </c>
      <c r="Q24">
        <v>147</v>
      </c>
      <c r="R24">
        <v>147</v>
      </c>
      <c r="S24">
        <v>147</v>
      </c>
      <c r="T24">
        <v>147</v>
      </c>
      <c r="U24">
        <v>147</v>
      </c>
      <c r="V24">
        <v>147</v>
      </c>
      <c r="W24">
        <v>147</v>
      </c>
      <c r="X24">
        <v>147</v>
      </c>
      <c r="Y24">
        <v>7</v>
      </c>
    </row>
    <row r="25" spans="1:25">
      <c r="A25">
        <v>160</v>
      </c>
      <c r="B25">
        <v>160</v>
      </c>
      <c r="C25">
        <v>160</v>
      </c>
      <c r="D25">
        <v>160</v>
      </c>
      <c r="E25">
        <v>160</v>
      </c>
      <c r="F25">
        <v>160</v>
      </c>
      <c r="G25">
        <v>160</v>
      </c>
      <c r="H25">
        <v>160</v>
      </c>
      <c r="I25">
        <v>160</v>
      </c>
      <c r="J25">
        <v>160</v>
      </c>
      <c r="K25">
        <v>160</v>
      </c>
      <c r="L25">
        <v>160</v>
      </c>
      <c r="M25">
        <v>160</v>
      </c>
      <c r="N25">
        <v>160</v>
      </c>
      <c r="O25">
        <v>160</v>
      </c>
      <c r="P25">
        <v>160</v>
      </c>
      <c r="Q25">
        <v>160</v>
      </c>
      <c r="R25">
        <v>160</v>
      </c>
      <c r="S25">
        <v>160</v>
      </c>
      <c r="T25">
        <v>160</v>
      </c>
      <c r="U25">
        <v>160</v>
      </c>
      <c r="V25">
        <v>160</v>
      </c>
      <c r="W25">
        <v>160</v>
      </c>
      <c r="X25">
        <v>160</v>
      </c>
      <c r="Y25">
        <v>8</v>
      </c>
    </row>
    <row r="26" spans="1:25">
      <c r="A26">
        <v>170</v>
      </c>
      <c r="B26">
        <v>170</v>
      </c>
      <c r="C26">
        <v>170</v>
      </c>
      <c r="D26">
        <v>170</v>
      </c>
      <c r="E26">
        <v>170</v>
      </c>
      <c r="F26">
        <v>170</v>
      </c>
      <c r="G26">
        <v>170</v>
      </c>
      <c r="H26">
        <v>170</v>
      </c>
      <c r="I26">
        <v>170</v>
      </c>
      <c r="J26">
        <v>170</v>
      </c>
      <c r="K26">
        <v>170</v>
      </c>
      <c r="L26">
        <v>170</v>
      </c>
      <c r="M26">
        <v>170</v>
      </c>
      <c r="N26">
        <v>170</v>
      </c>
      <c r="O26">
        <v>170</v>
      </c>
      <c r="P26">
        <v>170</v>
      </c>
      <c r="Q26">
        <v>170</v>
      </c>
      <c r="R26">
        <v>170</v>
      </c>
      <c r="S26">
        <v>170</v>
      </c>
      <c r="T26">
        <v>170</v>
      </c>
      <c r="U26">
        <v>170</v>
      </c>
      <c r="V26">
        <v>170</v>
      </c>
      <c r="W26">
        <v>170</v>
      </c>
      <c r="X26">
        <v>170</v>
      </c>
      <c r="Y26">
        <v>9</v>
      </c>
    </row>
    <row r="27" spans="1:25">
      <c r="A27">
        <v>181</v>
      </c>
      <c r="B27">
        <v>181</v>
      </c>
      <c r="C27">
        <v>181</v>
      </c>
      <c r="D27">
        <v>181</v>
      </c>
      <c r="E27">
        <v>181</v>
      </c>
      <c r="F27">
        <v>181</v>
      </c>
      <c r="G27">
        <v>181</v>
      </c>
      <c r="H27">
        <v>181</v>
      </c>
      <c r="I27">
        <v>181</v>
      </c>
      <c r="J27">
        <v>181</v>
      </c>
      <c r="K27">
        <v>181</v>
      </c>
      <c r="L27">
        <v>181</v>
      </c>
      <c r="M27">
        <v>181</v>
      </c>
      <c r="N27">
        <v>181</v>
      </c>
      <c r="O27">
        <v>181</v>
      </c>
      <c r="P27">
        <v>181</v>
      </c>
      <c r="Q27">
        <v>181</v>
      </c>
      <c r="R27">
        <v>181</v>
      </c>
      <c r="S27">
        <v>181</v>
      </c>
      <c r="T27">
        <v>181</v>
      </c>
      <c r="U27">
        <v>181</v>
      </c>
      <c r="V27">
        <v>181</v>
      </c>
      <c r="W27">
        <v>181</v>
      </c>
      <c r="X27">
        <v>181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pageSetup paperSize="9" orientation="portrait" r:id="rId1"/>
  <headerFooter alignWithMargins="0">
    <oddHeader>&amp;A</oddHeader>
    <oddFooter>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Y27"/>
  <sheetViews>
    <sheetView topLeftCell="A14" workbookViewId="0">
      <selection activeCell="W11" sqref="W11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20</v>
      </c>
      <c r="M1">
        <f ca="1">CELL("col",M2)</f>
        <v>13</v>
      </c>
      <c r="N1">
        <f>COLUMN(M2)</f>
        <v>13</v>
      </c>
    </row>
    <row r="2" spans="1:25"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>
        <v>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  <c r="X5">
        <v>5</v>
      </c>
      <c r="Y5">
        <v>2</v>
      </c>
    </row>
    <row r="6" spans="1:25">
      <c r="A6">
        <v>7</v>
      </c>
      <c r="B6">
        <v>7</v>
      </c>
      <c r="C6">
        <v>7</v>
      </c>
      <c r="D6">
        <v>7</v>
      </c>
      <c r="E6">
        <v>7</v>
      </c>
      <c r="F6">
        <v>7</v>
      </c>
      <c r="G6">
        <v>7</v>
      </c>
      <c r="H6">
        <v>7</v>
      </c>
      <c r="I6">
        <v>7</v>
      </c>
      <c r="J6">
        <v>7</v>
      </c>
      <c r="K6">
        <v>7</v>
      </c>
      <c r="L6">
        <v>7</v>
      </c>
      <c r="M6">
        <v>7</v>
      </c>
      <c r="N6">
        <v>7</v>
      </c>
      <c r="O6">
        <v>7</v>
      </c>
      <c r="P6">
        <v>7</v>
      </c>
      <c r="Q6">
        <v>7</v>
      </c>
      <c r="R6">
        <v>7</v>
      </c>
      <c r="S6">
        <v>7</v>
      </c>
      <c r="T6">
        <v>7</v>
      </c>
      <c r="U6">
        <v>7</v>
      </c>
      <c r="V6">
        <v>7</v>
      </c>
      <c r="W6">
        <v>7</v>
      </c>
      <c r="X6">
        <v>7</v>
      </c>
      <c r="Y6">
        <v>3</v>
      </c>
    </row>
    <row r="7" spans="1:25">
      <c r="A7">
        <v>10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  <c r="O7">
        <v>10</v>
      </c>
      <c r="P7">
        <v>10</v>
      </c>
      <c r="Q7">
        <v>10</v>
      </c>
      <c r="R7">
        <v>10</v>
      </c>
      <c r="S7">
        <v>10</v>
      </c>
      <c r="T7">
        <v>10</v>
      </c>
      <c r="U7">
        <v>10</v>
      </c>
      <c r="V7">
        <v>10</v>
      </c>
      <c r="W7">
        <v>10</v>
      </c>
      <c r="X7">
        <v>10</v>
      </c>
      <c r="Y7">
        <v>4</v>
      </c>
    </row>
    <row r="8" spans="1:25">
      <c r="A8">
        <v>13</v>
      </c>
      <c r="B8">
        <v>13</v>
      </c>
      <c r="C8">
        <v>13</v>
      </c>
      <c r="D8">
        <v>13</v>
      </c>
      <c r="E8">
        <v>13</v>
      </c>
      <c r="F8">
        <v>13</v>
      </c>
      <c r="G8">
        <v>13</v>
      </c>
      <c r="H8">
        <v>13</v>
      </c>
      <c r="I8">
        <v>13</v>
      </c>
      <c r="J8">
        <v>13</v>
      </c>
      <c r="K8">
        <v>13</v>
      </c>
      <c r="L8">
        <v>13</v>
      </c>
      <c r="M8">
        <v>13</v>
      </c>
      <c r="N8">
        <v>13</v>
      </c>
      <c r="O8">
        <v>13</v>
      </c>
      <c r="P8">
        <v>13</v>
      </c>
      <c r="Q8">
        <v>13</v>
      </c>
      <c r="R8">
        <v>13</v>
      </c>
      <c r="S8">
        <v>13</v>
      </c>
      <c r="T8">
        <v>13</v>
      </c>
      <c r="U8">
        <v>13</v>
      </c>
      <c r="V8">
        <v>13</v>
      </c>
      <c r="W8">
        <v>13</v>
      </c>
      <c r="X8">
        <v>13</v>
      </c>
      <c r="Y8">
        <v>5</v>
      </c>
    </row>
    <row r="9" spans="1:25">
      <c r="A9">
        <v>18</v>
      </c>
      <c r="B9">
        <v>18</v>
      </c>
      <c r="C9">
        <v>18</v>
      </c>
      <c r="D9">
        <v>18</v>
      </c>
      <c r="E9">
        <v>18</v>
      </c>
      <c r="F9">
        <v>18</v>
      </c>
      <c r="G9">
        <v>18</v>
      </c>
      <c r="H9">
        <v>18</v>
      </c>
      <c r="I9">
        <v>18</v>
      </c>
      <c r="J9">
        <v>18</v>
      </c>
      <c r="K9">
        <v>18</v>
      </c>
      <c r="L9">
        <v>18</v>
      </c>
      <c r="M9">
        <v>18</v>
      </c>
      <c r="N9">
        <v>18</v>
      </c>
      <c r="O9">
        <v>18</v>
      </c>
      <c r="P9">
        <v>18</v>
      </c>
      <c r="Q9">
        <v>18</v>
      </c>
      <c r="R9">
        <v>18</v>
      </c>
      <c r="S9">
        <v>18</v>
      </c>
      <c r="T9">
        <v>18</v>
      </c>
      <c r="U9">
        <v>18</v>
      </c>
      <c r="V9">
        <v>18</v>
      </c>
      <c r="W9">
        <v>18</v>
      </c>
      <c r="X9">
        <v>18</v>
      </c>
      <c r="Y9">
        <v>6</v>
      </c>
    </row>
    <row r="10" spans="1:25">
      <c r="A10">
        <v>24</v>
      </c>
      <c r="B10">
        <v>24</v>
      </c>
      <c r="C10">
        <v>24</v>
      </c>
      <c r="D10">
        <v>24</v>
      </c>
      <c r="E10">
        <v>24</v>
      </c>
      <c r="F10">
        <v>24</v>
      </c>
      <c r="G10">
        <v>24</v>
      </c>
      <c r="H10">
        <v>24</v>
      </c>
      <c r="I10">
        <v>24</v>
      </c>
      <c r="J10">
        <v>24</v>
      </c>
      <c r="K10">
        <v>24</v>
      </c>
      <c r="L10">
        <v>24</v>
      </c>
      <c r="M10">
        <v>24</v>
      </c>
      <c r="N10">
        <v>24</v>
      </c>
      <c r="O10">
        <v>24</v>
      </c>
      <c r="P10">
        <v>24</v>
      </c>
      <c r="Q10">
        <v>24</v>
      </c>
      <c r="R10">
        <v>24</v>
      </c>
      <c r="S10">
        <v>24</v>
      </c>
      <c r="T10">
        <v>24</v>
      </c>
      <c r="U10">
        <v>24</v>
      </c>
      <c r="V10">
        <v>24</v>
      </c>
      <c r="W10">
        <v>24</v>
      </c>
      <c r="X10">
        <v>24</v>
      </c>
      <c r="Y10">
        <v>7</v>
      </c>
    </row>
    <row r="11" spans="1:25">
      <c r="A11">
        <v>30</v>
      </c>
      <c r="B11">
        <v>30</v>
      </c>
      <c r="C11">
        <v>30</v>
      </c>
      <c r="D11">
        <v>30</v>
      </c>
      <c r="E11">
        <v>30</v>
      </c>
      <c r="F11">
        <v>30</v>
      </c>
      <c r="G11">
        <v>30</v>
      </c>
      <c r="H11">
        <v>30</v>
      </c>
      <c r="I11">
        <v>30</v>
      </c>
      <c r="J11">
        <v>30</v>
      </c>
      <c r="K11">
        <v>30</v>
      </c>
      <c r="L11">
        <v>30</v>
      </c>
      <c r="M11">
        <v>30</v>
      </c>
      <c r="N11">
        <v>30</v>
      </c>
      <c r="O11">
        <v>30</v>
      </c>
      <c r="P11">
        <v>30</v>
      </c>
      <c r="Q11">
        <v>30</v>
      </c>
      <c r="R11">
        <v>30</v>
      </c>
      <c r="S11">
        <v>30</v>
      </c>
      <c r="T11">
        <v>30</v>
      </c>
      <c r="U11">
        <v>30</v>
      </c>
      <c r="V11">
        <v>30</v>
      </c>
      <c r="W11">
        <v>30</v>
      </c>
      <c r="X11">
        <v>30</v>
      </c>
      <c r="Y11">
        <v>8</v>
      </c>
    </row>
    <row r="12" spans="1:25">
      <c r="A12">
        <v>35</v>
      </c>
      <c r="B12">
        <v>35</v>
      </c>
      <c r="C12">
        <v>35</v>
      </c>
      <c r="D12">
        <v>35</v>
      </c>
      <c r="E12">
        <v>35</v>
      </c>
      <c r="F12">
        <v>35</v>
      </c>
      <c r="G12">
        <v>35</v>
      </c>
      <c r="H12">
        <v>35</v>
      </c>
      <c r="I12">
        <v>35</v>
      </c>
      <c r="J12">
        <v>35</v>
      </c>
      <c r="K12">
        <v>35</v>
      </c>
      <c r="L12">
        <v>35</v>
      </c>
      <c r="M12">
        <v>35</v>
      </c>
      <c r="N12">
        <v>35</v>
      </c>
      <c r="O12">
        <v>35</v>
      </c>
      <c r="P12">
        <v>35</v>
      </c>
      <c r="Q12">
        <v>35</v>
      </c>
      <c r="R12">
        <v>35</v>
      </c>
      <c r="S12">
        <v>35</v>
      </c>
      <c r="T12">
        <v>35</v>
      </c>
      <c r="U12">
        <v>35</v>
      </c>
      <c r="V12">
        <v>35</v>
      </c>
      <c r="W12">
        <v>35</v>
      </c>
      <c r="X12">
        <v>35</v>
      </c>
      <c r="Y12">
        <v>9</v>
      </c>
    </row>
    <row r="13" spans="1:25">
      <c r="A13">
        <v>40</v>
      </c>
      <c r="B13">
        <v>40</v>
      </c>
      <c r="C13">
        <v>40</v>
      </c>
      <c r="D13">
        <v>40</v>
      </c>
      <c r="E13">
        <v>40</v>
      </c>
      <c r="F13">
        <v>40</v>
      </c>
      <c r="G13">
        <v>40</v>
      </c>
      <c r="H13">
        <v>40</v>
      </c>
      <c r="I13">
        <v>40</v>
      </c>
      <c r="J13">
        <v>40</v>
      </c>
      <c r="K13">
        <v>40</v>
      </c>
      <c r="L13">
        <v>40</v>
      </c>
      <c r="M13">
        <v>40</v>
      </c>
      <c r="N13">
        <v>40</v>
      </c>
      <c r="O13">
        <v>40</v>
      </c>
      <c r="P13">
        <v>40</v>
      </c>
      <c r="Q13">
        <v>40</v>
      </c>
      <c r="R13">
        <v>40</v>
      </c>
      <c r="S13">
        <v>40</v>
      </c>
      <c r="T13">
        <v>40</v>
      </c>
      <c r="U13">
        <v>40</v>
      </c>
      <c r="V13">
        <v>40</v>
      </c>
      <c r="W13">
        <v>40</v>
      </c>
      <c r="X13">
        <v>40</v>
      </c>
      <c r="Y13">
        <v>10</v>
      </c>
    </row>
    <row r="15" spans="1:25">
      <c r="A15" t="s">
        <v>21</v>
      </c>
    </row>
    <row r="16" spans="1:25">
      <c r="Y16" t="s">
        <v>16</v>
      </c>
    </row>
    <row r="17" spans="1:25">
      <c r="Y17">
        <v>0</v>
      </c>
    </row>
    <row r="18" spans="1:2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>
        <v>4</v>
      </c>
      <c r="B19">
        <v>4</v>
      </c>
      <c r="C19">
        <v>4</v>
      </c>
      <c r="D19">
        <v>4</v>
      </c>
      <c r="E19">
        <v>4</v>
      </c>
      <c r="F19">
        <v>4</v>
      </c>
      <c r="G19">
        <v>4</v>
      </c>
      <c r="H19">
        <v>4</v>
      </c>
      <c r="I19">
        <v>4</v>
      </c>
      <c r="J19">
        <v>4</v>
      </c>
      <c r="K19">
        <v>4</v>
      </c>
      <c r="L19">
        <v>4</v>
      </c>
      <c r="M19">
        <v>4</v>
      </c>
      <c r="N19">
        <v>4</v>
      </c>
      <c r="O19">
        <v>4</v>
      </c>
      <c r="P19">
        <v>4</v>
      </c>
      <c r="Q19">
        <v>4</v>
      </c>
      <c r="R19">
        <v>4</v>
      </c>
      <c r="S19">
        <v>4</v>
      </c>
      <c r="T19">
        <v>4</v>
      </c>
      <c r="U19">
        <v>4</v>
      </c>
      <c r="V19">
        <v>4</v>
      </c>
      <c r="W19">
        <v>4</v>
      </c>
      <c r="X19">
        <v>4</v>
      </c>
      <c r="Y19">
        <v>2</v>
      </c>
    </row>
    <row r="20" spans="1:25">
      <c r="A20">
        <v>5</v>
      </c>
      <c r="B20">
        <v>5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>
        <v>5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  <c r="W20">
        <v>5</v>
      </c>
      <c r="X20">
        <v>5</v>
      </c>
      <c r="Y20">
        <v>3</v>
      </c>
    </row>
    <row r="21" spans="1:25">
      <c r="A21">
        <v>6</v>
      </c>
      <c r="B21">
        <v>6</v>
      </c>
      <c r="C21">
        <v>6</v>
      </c>
      <c r="D21">
        <v>6</v>
      </c>
      <c r="E21">
        <v>6</v>
      </c>
      <c r="F21">
        <v>6</v>
      </c>
      <c r="G21">
        <v>6</v>
      </c>
      <c r="H21">
        <v>6</v>
      </c>
      <c r="I21">
        <v>6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4</v>
      </c>
    </row>
    <row r="22" spans="1:25">
      <c r="A22">
        <v>8</v>
      </c>
      <c r="B22">
        <v>8</v>
      </c>
      <c r="C22">
        <v>8</v>
      </c>
      <c r="D22">
        <v>8</v>
      </c>
      <c r="E22">
        <v>8</v>
      </c>
      <c r="F22">
        <v>8</v>
      </c>
      <c r="G22">
        <v>8</v>
      </c>
      <c r="H22">
        <v>8</v>
      </c>
      <c r="I22">
        <v>8</v>
      </c>
      <c r="J22">
        <v>8</v>
      </c>
      <c r="K22">
        <v>8</v>
      </c>
      <c r="L22">
        <v>8</v>
      </c>
      <c r="M22">
        <v>8</v>
      </c>
      <c r="N22">
        <v>8</v>
      </c>
      <c r="O22">
        <v>8</v>
      </c>
      <c r="P22">
        <v>8</v>
      </c>
      <c r="Q22">
        <v>8</v>
      </c>
      <c r="R22">
        <v>8</v>
      </c>
      <c r="S22">
        <v>8</v>
      </c>
      <c r="T22">
        <v>8</v>
      </c>
      <c r="U22">
        <v>8</v>
      </c>
      <c r="V22">
        <v>8</v>
      </c>
      <c r="W22">
        <v>8</v>
      </c>
      <c r="X22">
        <v>8</v>
      </c>
      <c r="Y22">
        <v>5</v>
      </c>
    </row>
    <row r="23" spans="1:25">
      <c r="A23">
        <v>11</v>
      </c>
      <c r="B23">
        <v>11</v>
      </c>
      <c r="C23">
        <v>11</v>
      </c>
      <c r="D23">
        <v>11</v>
      </c>
      <c r="E23">
        <v>11</v>
      </c>
      <c r="F23">
        <v>11</v>
      </c>
      <c r="G23">
        <v>11</v>
      </c>
      <c r="H23">
        <v>11</v>
      </c>
      <c r="I23">
        <v>11</v>
      </c>
      <c r="J23">
        <v>11</v>
      </c>
      <c r="K23">
        <v>11</v>
      </c>
      <c r="L23">
        <v>11</v>
      </c>
      <c r="M23">
        <v>11</v>
      </c>
      <c r="N23">
        <v>11</v>
      </c>
      <c r="O23">
        <v>11</v>
      </c>
      <c r="P23">
        <v>11</v>
      </c>
      <c r="Q23">
        <v>11</v>
      </c>
      <c r="R23">
        <v>11</v>
      </c>
      <c r="S23">
        <v>11</v>
      </c>
      <c r="T23">
        <v>11</v>
      </c>
      <c r="U23">
        <v>11</v>
      </c>
      <c r="V23">
        <v>11</v>
      </c>
      <c r="W23">
        <v>11</v>
      </c>
      <c r="X23">
        <v>11</v>
      </c>
      <c r="Y23">
        <v>6</v>
      </c>
    </row>
    <row r="24" spans="1:25">
      <c r="A24">
        <v>14</v>
      </c>
      <c r="B24">
        <v>14</v>
      </c>
      <c r="C24">
        <v>14</v>
      </c>
      <c r="D24">
        <v>14</v>
      </c>
      <c r="E24">
        <v>14</v>
      </c>
      <c r="F24">
        <v>14</v>
      </c>
      <c r="G24">
        <v>14</v>
      </c>
      <c r="H24">
        <v>14</v>
      </c>
      <c r="I24">
        <v>14</v>
      </c>
      <c r="J24">
        <v>14</v>
      </c>
      <c r="K24">
        <v>14</v>
      </c>
      <c r="L24">
        <v>14</v>
      </c>
      <c r="M24">
        <v>14</v>
      </c>
      <c r="N24">
        <v>14</v>
      </c>
      <c r="O24">
        <v>14</v>
      </c>
      <c r="P24">
        <v>14</v>
      </c>
      <c r="Q24">
        <v>14</v>
      </c>
      <c r="R24">
        <v>14</v>
      </c>
      <c r="S24">
        <v>14</v>
      </c>
      <c r="T24">
        <v>14</v>
      </c>
      <c r="U24">
        <v>14</v>
      </c>
      <c r="V24">
        <v>14</v>
      </c>
      <c r="W24">
        <v>14</v>
      </c>
      <c r="X24">
        <v>14</v>
      </c>
      <c r="Y24">
        <v>7</v>
      </c>
    </row>
    <row r="25" spans="1:25">
      <c r="A25">
        <v>17</v>
      </c>
      <c r="B25">
        <v>17</v>
      </c>
      <c r="C25">
        <v>17</v>
      </c>
      <c r="D25">
        <v>17</v>
      </c>
      <c r="E25">
        <v>17</v>
      </c>
      <c r="F25">
        <v>17</v>
      </c>
      <c r="G25">
        <v>17</v>
      </c>
      <c r="H25">
        <v>17</v>
      </c>
      <c r="I25">
        <v>17</v>
      </c>
      <c r="J25">
        <v>17</v>
      </c>
      <c r="K25">
        <v>17</v>
      </c>
      <c r="L25">
        <v>17</v>
      </c>
      <c r="M25">
        <v>17</v>
      </c>
      <c r="N25">
        <v>17</v>
      </c>
      <c r="O25">
        <v>17</v>
      </c>
      <c r="P25">
        <v>17</v>
      </c>
      <c r="Q25">
        <v>17</v>
      </c>
      <c r="R25">
        <v>17</v>
      </c>
      <c r="S25">
        <v>17</v>
      </c>
      <c r="T25">
        <v>17</v>
      </c>
      <c r="U25">
        <v>17</v>
      </c>
      <c r="V25">
        <v>17</v>
      </c>
      <c r="W25">
        <v>17</v>
      </c>
      <c r="X25">
        <v>17</v>
      </c>
      <c r="Y25">
        <v>8</v>
      </c>
    </row>
    <row r="26" spans="1:25">
      <c r="A26">
        <v>21</v>
      </c>
      <c r="B26">
        <v>21</v>
      </c>
      <c r="C26">
        <v>21</v>
      </c>
      <c r="D26">
        <v>21</v>
      </c>
      <c r="E26">
        <v>21</v>
      </c>
      <c r="F26">
        <v>21</v>
      </c>
      <c r="G26">
        <v>21</v>
      </c>
      <c r="H26">
        <v>21</v>
      </c>
      <c r="I26">
        <v>21</v>
      </c>
      <c r="J26">
        <v>21</v>
      </c>
      <c r="K26">
        <v>21</v>
      </c>
      <c r="L26">
        <v>21</v>
      </c>
      <c r="M26">
        <v>21</v>
      </c>
      <c r="N26">
        <v>21</v>
      </c>
      <c r="O26">
        <v>21</v>
      </c>
      <c r="P26">
        <v>21</v>
      </c>
      <c r="Q26">
        <v>21</v>
      </c>
      <c r="R26">
        <v>21</v>
      </c>
      <c r="S26">
        <v>21</v>
      </c>
      <c r="T26">
        <v>21</v>
      </c>
      <c r="U26">
        <v>21</v>
      </c>
      <c r="V26">
        <v>21</v>
      </c>
      <c r="W26">
        <v>21</v>
      </c>
      <c r="X26">
        <v>21</v>
      </c>
      <c r="Y26">
        <v>9</v>
      </c>
    </row>
    <row r="27" spans="1:25">
      <c r="A27">
        <v>25</v>
      </c>
      <c r="B27">
        <v>25</v>
      </c>
      <c r="C27">
        <v>25</v>
      </c>
      <c r="D27">
        <v>25</v>
      </c>
      <c r="E27">
        <v>25</v>
      </c>
      <c r="F27">
        <v>25</v>
      </c>
      <c r="G27">
        <v>25</v>
      </c>
      <c r="H27">
        <v>25</v>
      </c>
      <c r="I27">
        <v>25</v>
      </c>
      <c r="J27">
        <v>25</v>
      </c>
      <c r="K27">
        <v>25</v>
      </c>
      <c r="L27">
        <v>25</v>
      </c>
      <c r="M27">
        <v>25</v>
      </c>
      <c r="N27">
        <v>25</v>
      </c>
      <c r="O27">
        <v>25</v>
      </c>
      <c r="P27">
        <v>25</v>
      </c>
      <c r="Q27">
        <v>25</v>
      </c>
      <c r="R27">
        <v>25</v>
      </c>
      <c r="S27">
        <v>25</v>
      </c>
      <c r="T27">
        <v>25</v>
      </c>
      <c r="U27">
        <v>25</v>
      </c>
      <c r="V27">
        <v>25</v>
      </c>
      <c r="W27">
        <v>25</v>
      </c>
      <c r="X27">
        <v>25</v>
      </c>
      <c r="Y27">
        <v>10</v>
      </c>
    </row>
  </sheetData>
  <phoneticPr fontId="12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Y8"/>
  <sheetViews>
    <sheetView workbookViewId="0">
      <selection activeCell="U48" sqref="U48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87</v>
      </c>
      <c r="M1">
        <f ca="1">CELL("col",M2)</f>
        <v>13</v>
      </c>
      <c r="N1">
        <f>COLUMN(M2)</f>
        <v>13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Y2" t="s">
        <v>16</v>
      </c>
    </row>
    <row r="3" spans="1:25">
      <c r="Y3">
        <v>0</v>
      </c>
    </row>
    <row r="4" spans="1: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Y4" t="s">
        <v>88</v>
      </c>
    </row>
    <row r="5" spans="1:25">
      <c r="A5">
        <v>22</v>
      </c>
      <c r="B5">
        <v>27</v>
      </c>
      <c r="C5">
        <v>32</v>
      </c>
      <c r="D5">
        <v>38</v>
      </c>
      <c r="E5">
        <v>42</v>
      </c>
      <c r="F5">
        <v>46</v>
      </c>
      <c r="Y5" t="s">
        <v>89</v>
      </c>
    </row>
    <row r="6" spans="1:25">
      <c r="A6">
        <v>27</v>
      </c>
      <c r="B6">
        <v>34</v>
      </c>
      <c r="C6">
        <v>39</v>
      </c>
      <c r="D6">
        <v>45</v>
      </c>
      <c r="E6">
        <v>50</v>
      </c>
      <c r="F6">
        <v>55</v>
      </c>
      <c r="Y6" t="s">
        <v>90</v>
      </c>
    </row>
    <row r="7" spans="1:25">
      <c r="A7">
        <v>33</v>
      </c>
      <c r="B7">
        <v>41</v>
      </c>
      <c r="C7">
        <v>46</v>
      </c>
      <c r="D7">
        <v>52</v>
      </c>
      <c r="E7">
        <v>58</v>
      </c>
      <c r="F7">
        <v>63</v>
      </c>
      <c r="Y7" t="s">
        <v>91</v>
      </c>
    </row>
    <row r="8" spans="1:25">
      <c r="A8">
        <v>39</v>
      </c>
      <c r="B8">
        <v>47</v>
      </c>
      <c r="C8">
        <v>53</v>
      </c>
      <c r="D8">
        <v>59</v>
      </c>
      <c r="E8">
        <v>65</v>
      </c>
      <c r="F8">
        <v>71</v>
      </c>
      <c r="X8" s="21"/>
      <c r="Y8" t="s">
        <v>92</v>
      </c>
    </row>
  </sheetData>
  <phoneticPr fontId="12"/>
  <printOptions gridLinesSet="0"/>
  <pageMargins left="0.78700000000000003" right="0.78700000000000003" top="0.98399999999999999" bottom="0.98399999999999999" header="0.5" footer="0.5"/>
  <pageSetup paperSize="9" orientation="portrait" r:id="rId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rgb="FFFF0000"/>
  </sheetPr>
  <dimension ref="A1:BD44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M4" sqref="AM4"/>
    </sheetView>
  </sheetViews>
  <sheetFormatPr defaultColWidth="8.7109375" defaultRowHeight="12"/>
  <cols>
    <col min="1" max="1" width="3.28515625" customWidth="1"/>
    <col min="2" max="2" width="11.5703125" style="76" customWidth="1"/>
    <col min="3" max="3" width="9.42578125" style="59" customWidth="1"/>
    <col min="4" max="4" width="3.5703125" customWidth="1"/>
    <col min="5" max="5" width="2.7109375" customWidth="1"/>
    <col min="6" max="10" width="3.7109375" customWidth="1"/>
    <col min="11" max="11" width="4.28515625" customWidth="1"/>
    <col min="12" max="12" width="4.140625" customWidth="1"/>
    <col min="13" max="24" width="3.7109375" customWidth="1"/>
    <col min="25" max="26" width="6.7109375" hidden="1" customWidth="1"/>
    <col min="27" max="27" width="1" customWidth="1"/>
    <col min="28" max="28" width="10.140625" style="59" customWidth="1"/>
    <col min="29" max="43" width="5.7109375" customWidth="1"/>
    <col min="44" max="44" width="11.5703125" style="59" customWidth="1"/>
    <col min="45" max="46" width="8.85546875" customWidth="1"/>
    <col min="47" max="49" width="4.140625" customWidth="1"/>
    <col min="50" max="50" width="4.140625" style="8" customWidth="1"/>
    <col min="55" max="56" width="8.7109375" style="59"/>
  </cols>
  <sheetData>
    <row r="1" spans="1:56" ht="18.75">
      <c r="A1" s="24"/>
      <c r="B1" s="75"/>
      <c r="C1" s="74"/>
      <c r="D1" s="24"/>
      <c r="E1" s="41">
        <v>6</v>
      </c>
      <c r="F1" s="25" t="s">
        <v>71</v>
      </c>
      <c r="G1" s="42">
        <v>2</v>
      </c>
      <c r="H1" s="26" t="s">
        <v>72</v>
      </c>
      <c r="I1" s="24"/>
      <c r="J1" s="24"/>
      <c r="K1" s="24"/>
      <c r="L1" s="24"/>
      <c r="M1" s="27"/>
      <c r="N1" s="28"/>
      <c r="O1" s="28"/>
      <c r="P1" s="27"/>
      <c r="Q1" s="27" t="s">
        <v>68</v>
      </c>
      <c r="R1" s="28" t="s">
        <v>67</v>
      </c>
      <c r="S1" s="242" t="s">
        <v>167</v>
      </c>
      <c r="T1" s="242"/>
      <c r="U1" s="242"/>
      <c r="V1" s="28" t="s">
        <v>44</v>
      </c>
      <c r="W1" s="9">
        <v>6</v>
      </c>
      <c r="X1" s="28" t="s">
        <v>41</v>
      </c>
      <c r="Y1" s="9">
        <v>1</v>
      </c>
      <c r="Z1" s="8" t="s">
        <v>42</v>
      </c>
      <c r="AA1" s="24"/>
      <c r="AB1" s="74"/>
      <c r="AC1" s="217" t="s">
        <v>123</v>
      </c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S1" s="217" t="s">
        <v>124</v>
      </c>
      <c r="AT1" s="217"/>
    </row>
    <row r="2" spans="1:56" ht="15" customHeight="1">
      <c r="A2" s="229" t="s">
        <v>35</v>
      </c>
      <c r="B2" s="229" t="s">
        <v>0</v>
      </c>
      <c r="C2" s="232" t="s">
        <v>122</v>
      </c>
      <c r="D2" s="232" t="s">
        <v>1</v>
      </c>
      <c r="E2" s="234" t="s">
        <v>2</v>
      </c>
      <c r="F2" s="238" t="s">
        <v>43</v>
      </c>
      <c r="G2" s="238"/>
      <c r="H2" s="238"/>
      <c r="I2" s="238"/>
      <c r="J2" s="238"/>
      <c r="K2" s="238"/>
      <c r="L2" s="238"/>
      <c r="M2" s="239"/>
      <c r="N2" s="238" t="s">
        <v>16</v>
      </c>
      <c r="O2" s="238"/>
      <c r="P2" s="238"/>
      <c r="Q2" s="238"/>
      <c r="R2" s="238"/>
      <c r="S2" s="238"/>
      <c r="T2" s="238"/>
      <c r="U2" s="239"/>
      <c r="V2" s="236" t="s">
        <v>24</v>
      </c>
      <c r="W2" s="240" t="s">
        <v>3</v>
      </c>
      <c r="X2" s="240" t="s">
        <v>45</v>
      </c>
      <c r="Y2" s="225" t="s">
        <v>4</v>
      </c>
      <c r="Z2" s="225" t="s">
        <v>5</v>
      </c>
      <c r="AA2" s="24"/>
      <c r="AB2" s="77" t="s">
        <v>114</v>
      </c>
      <c r="AC2" s="218" t="s">
        <v>101</v>
      </c>
      <c r="AD2" s="218"/>
      <c r="AE2" s="218" t="s">
        <v>102</v>
      </c>
      <c r="AF2" s="218"/>
      <c r="AG2" s="90" t="s">
        <v>125</v>
      </c>
      <c r="AH2" s="226" t="s">
        <v>109</v>
      </c>
      <c r="AI2" s="226"/>
      <c r="AJ2" s="219" t="s">
        <v>119</v>
      </c>
      <c r="AK2" s="220"/>
      <c r="AL2" s="93" t="s">
        <v>126</v>
      </c>
      <c r="AM2" s="96" t="s">
        <v>129</v>
      </c>
      <c r="AN2" s="227" t="s">
        <v>110</v>
      </c>
      <c r="AO2" s="227"/>
      <c r="AP2" s="228" t="s">
        <v>111</v>
      </c>
      <c r="AQ2" s="228"/>
      <c r="AR2" s="52"/>
      <c r="AS2" s="221" t="s">
        <v>112</v>
      </c>
      <c r="AT2" s="223" t="s">
        <v>113</v>
      </c>
    </row>
    <row r="3" spans="1:56" ht="46.9" customHeight="1" thickBot="1">
      <c r="A3" s="230"/>
      <c r="B3" s="231"/>
      <c r="C3" s="233"/>
      <c r="D3" s="233"/>
      <c r="E3" s="235"/>
      <c r="F3" s="124" t="s">
        <v>61</v>
      </c>
      <c r="G3" s="125" t="s">
        <v>23</v>
      </c>
      <c r="H3" s="125" t="s">
        <v>62</v>
      </c>
      <c r="I3" s="125" t="s">
        <v>63</v>
      </c>
      <c r="J3" s="125" t="s">
        <v>66</v>
      </c>
      <c r="K3" s="125" t="s">
        <v>64</v>
      </c>
      <c r="L3" s="125" t="s">
        <v>34</v>
      </c>
      <c r="M3" s="126" t="s">
        <v>65</v>
      </c>
      <c r="N3" s="127" t="s">
        <v>61</v>
      </c>
      <c r="O3" s="39" t="s">
        <v>23</v>
      </c>
      <c r="P3" s="39" t="s">
        <v>62</v>
      </c>
      <c r="Q3" s="39" t="s">
        <v>63</v>
      </c>
      <c r="R3" s="39" t="s">
        <v>66</v>
      </c>
      <c r="S3" s="39" t="s">
        <v>64</v>
      </c>
      <c r="T3" s="39" t="s">
        <v>34</v>
      </c>
      <c r="U3" s="40" t="s">
        <v>65</v>
      </c>
      <c r="V3" s="237"/>
      <c r="W3" s="241"/>
      <c r="X3" s="241"/>
      <c r="Y3" s="225"/>
      <c r="Z3" s="225"/>
      <c r="AA3" s="24"/>
      <c r="AB3" s="78" t="s">
        <v>114</v>
      </c>
      <c r="AC3" s="55" t="s">
        <v>103</v>
      </c>
      <c r="AD3" s="55" t="s">
        <v>104</v>
      </c>
      <c r="AE3" s="56" t="s">
        <v>105</v>
      </c>
      <c r="AF3" s="56" t="s">
        <v>106</v>
      </c>
      <c r="AG3" s="91" t="s">
        <v>128</v>
      </c>
      <c r="AH3" s="58" t="s">
        <v>107</v>
      </c>
      <c r="AI3" s="58" t="s">
        <v>108</v>
      </c>
      <c r="AJ3" s="61" t="s">
        <v>107</v>
      </c>
      <c r="AK3" s="61" t="s">
        <v>108</v>
      </c>
      <c r="AL3" s="94" t="s">
        <v>127</v>
      </c>
      <c r="AM3" s="56"/>
      <c r="AN3" s="57" t="s">
        <v>107</v>
      </c>
      <c r="AO3" s="57" t="s">
        <v>108</v>
      </c>
      <c r="AP3" s="64" t="s">
        <v>107</v>
      </c>
      <c r="AQ3" s="64" t="s">
        <v>108</v>
      </c>
      <c r="AR3" s="80"/>
      <c r="AS3" s="222"/>
      <c r="AT3" s="224"/>
      <c r="AY3" s="60" t="s">
        <v>116</v>
      </c>
      <c r="AZ3" s="60" t="s">
        <v>119</v>
      </c>
      <c r="BA3" s="60" t="s">
        <v>117</v>
      </c>
      <c r="BB3" s="60" t="s">
        <v>118</v>
      </c>
      <c r="BC3" s="60"/>
    </row>
    <row r="4" spans="1:56" ht="18.600000000000001" customHeight="1" thickTop="1">
      <c r="A4" s="29">
        <v>1</v>
      </c>
      <c r="B4" s="36" t="s">
        <v>137</v>
      </c>
      <c r="C4" s="163"/>
      <c r="D4" s="164"/>
      <c r="E4" s="116">
        <f>CHOOSE(E$1,6,7,8,9,10,11)</f>
        <v>11</v>
      </c>
      <c r="F4" s="146" t="str">
        <f>IF(AVERAGE(AU4:AV4)=0,"",ROUND(AVERAGE(AU4:AV4),0))</f>
        <v/>
      </c>
      <c r="G4" s="128" t="str">
        <f>IF(AG4=0,"",AG4)</f>
        <v/>
      </c>
      <c r="H4" s="129" t="str">
        <f>IF(AY4=0,"",AY4)</f>
        <v/>
      </c>
      <c r="I4" s="130" t="str">
        <f>IF(AZ4=0,"",AZ4)</f>
        <v/>
      </c>
      <c r="J4" s="131" t="str">
        <f>IF(AL4=0,"",AL4)</f>
        <v/>
      </c>
      <c r="K4" s="132" t="str">
        <f>IF(AM4=0,"",AM4)</f>
        <v/>
      </c>
      <c r="L4" s="133" t="str">
        <f>IF(BA4=0,"",BA4)</f>
        <v/>
      </c>
      <c r="M4" s="134" t="str">
        <f>IF(BB4=0,"",BB4)</f>
        <v/>
      </c>
      <c r="N4" s="32" t="str">
        <f ca="1">IF(F4="","",CHOOSE(MATCH($F4,IF($D4="男",INDIRECT(設定!Q50),INDIRECT(設定!R50)),1),0,1,2,3,4,5,6,7,8,9,10))</f>
        <v/>
      </c>
      <c r="O4" s="33" t="str">
        <f ca="1">IF(G4="","",CHOOSE(MATCH(G4,IF($D4="男",INDIRECT(設定!S50),INDIRECT(設定!T50)),1),0,1,2,3,4,5,6,7,8,9,10))</f>
        <v/>
      </c>
      <c r="P4" s="33" t="str">
        <f ca="1">IF(H4="","",CHOOSE(MATCH(H4,IF($D4="男",INDIRECT(設定!U50),INDIRECT(設定!V50)),1),0,1,2,3,4,5,6,7,8,9,10))</f>
        <v/>
      </c>
      <c r="Q4" s="33" t="str">
        <f ca="1">IF(I4="","",CHOOSE(MATCH(I4,IF($D4="男",INDIRECT(設定!W50),INDIRECT(設定!X50)),1),0,1,2,3,4,5,6,7,8,9,10))</f>
        <v/>
      </c>
      <c r="R4" s="33" t="str">
        <f ca="1">IF(J4="","",CHOOSE(MATCH(J4,IF($D4="男",INDIRECT(設定!Y50),INDIRECT(設定!Z50)),1),0,1,2,3,4,5,6,7,8,9,10))</f>
        <v/>
      </c>
      <c r="S4" s="33" t="str">
        <f ca="1">IF(K4="","",CHOOSE(MATCH(K4,IF($D4="男",INDIRECT(設定!AA50),INDIRECT(設定!AB50)),1),10,9,8,7,6,5,4,3,2,1,0))</f>
        <v/>
      </c>
      <c r="T4" s="33" t="str">
        <f ca="1">IF(L4="","",CHOOSE(MATCH(L4,IF($D4="男",INDIRECT(設定!AC50),INDIRECT(設定!AD50)),1),0,1,2,3,4,5,6,7,8,9,10))</f>
        <v/>
      </c>
      <c r="U4" s="34" t="str">
        <f ca="1">IF(M4="","",CHOOSE(MATCH(M4,IF($D4="男",INDIRECT(設定!AE50),INDIRECT(設定!AF50)),1),0,1,2,3,4,5,6,7,8,9,10))</f>
        <v/>
      </c>
      <c r="V4" s="32">
        <f>IF(B4="","",COUNT(F4:M4))</f>
        <v>0</v>
      </c>
      <c r="W4" s="33">
        <f ca="1">IF(B4="","",SUM(N4:U4))</f>
        <v>0</v>
      </c>
      <c r="X4" s="33" t="str">
        <f>IF(V4=8,CHOOSE(AA4,"E","D","C","B","A"),"-----")</f>
        <v>-----</v>
      </c>
      <c r="Y4" s="22">
        <f ca="1">IF(B4="","",MIN(N4:R4))</f>
        <v>0</v>
      </c>
      <c r="Z4" s="22">
        <f ca="1">IF(B4="","",MAX(N4:R4))</f>
        <v>0</v>
      </c>
      <c r="AA4" s="53" t="str">
        <f ca="1">IF(V4=8,CHOOSE(MATCH(W4,INDIRECT(設定!AG50),1),1,2,3,4,5),"-----")</f>
        <v>-----</v>
      </c>
      <c r="AB4" s="79" t="str">
        <f>B4</f>
        <v>A001</v>
      </c>
      <c r="AC4" s="100"/>
      <c r="AD4" s="82"/>
      <c r="AE4" s="83"/>
      <c r="AF4" s="83"/>
      <c r="AG4" s="92"/>
      <c r="AH4" s="84"/>
      <c r="AI4" s="84"/>
      <c r="AJ4" s="85"/>
      <c r="AK4" s="85"/>
      <c r="AL4" s="95"/>
      <c r="AM4" s="83"/>
      <c r="AN4" s="86"/>
      <c r="AO4" s="86"/>
      <c r="AP4" s="87"/>
      <c r="AQ4" s="87"/>
      <c r="AR4" s="81" t="str">
        <f t="shared" ref="AR4:AR43" si="0">B4</f>
        <v>A001</v>
      </c>
      <c r="AS4" s="88"/>
      <c r="AT4" s="89"/>
      <c r="AU4">
        <f t="shared" ref="AU4:AU43" si="1">MAX(AC4,AD4)</f>
        <v>0</v>
      </c>
      <c r="AV4">
        <f t="shared" ref="AV4:AV43" si="2">MAX(AE4,AF4)</f>
        <v>0</v>
      </c>
      <c r="AW4" s="59">
        <f>AVERAGE(AU4:AV4)</f>
        <v>0</v>
      </c>
      <c r="AX4" s="8" t="str">
        <f>FIXED(AW4,0,TRUE)</f>
        <v>0</v>
      </c>
      <c r="AY4">
        <f>MAX(AH4,AI4)</f>
        <v>0</v>
      </c>
      <c r="AZ4">
        <f>MAX(AJ4,AK4)</f>
        <v>0</v>
      </c>
      <c r="BA4">
        <f>MAX(AN4,AO4)</f>
        <v>0</v>
      </c>
      <c r="BB4">
        <f>MAX(AP4,AQ4)</f>
        <v>0</v>
      </c>
      <c r="BC4" s="59">
        <f>C4</f>
        <v>0</v>
      </c>
      <c r="BD4" s="59" t="str">
        <f>PHONETIC(C4)</f>
        <v/>
      </c>
    </row>
    <row r="5" spans="1:56" ht="18.600000000000001" customHeight="1">
      <c r="A5" s="35">
        <v>2</v>
      </c>
      <c r="B5" s="36" t="s">
        <v>138</v>
      </c>
      <c r="C5" s="163"/>
      <c r="D5" s="164"/>
      <c r="E5" s="117">
        <f t="shared" ref="E5:E43" si="3">CHOOSE(E$1,6,7,8,9,10,11)</f>
        <v>11</v>
      </c>
      <c r="F5" s="146" t="str">
        <f t="shared" ref="F5:F43" si="4">IF(AVERAGE(AU5:AV5)=0,"",ROUND(AVERAGE(AU5:AV5),0))</f>
        <v/>
      </c>
      <c r="G5" s="120" t="str">
        <f t="shared" ref="G5:G43" si="5">IF(AG5=0,"",AG5)</f>
        <v/>
      </c>
      <c r="H5" s="67" t="str">
        <f t="shared" ref="H5:H43" si="6">IF(AY5=0,"",AY5)</f>
        <v/>
      </c>
      <c r="I5" s="68" t="str">
        <f t="shared" ref="I5:I43" si="7">IF(AZ5=0,"",AZ5)</f>
        <v/>
      </c>
      <c r="J5" s="121" t="str">
        <f t="shared" ref="J5:J43" si="8">IF(AL5=0,"",AL5)</f>
        <v/>
      </c>
      <c r="K5" s="122" t="str">
        <f t="shared" ref="K5:K43" si="9">IF(AM5=0,"",AM5)</f>
        <v/>
      </c>
      <c r="L5" s="123" t="str">
        <f t="shared" ref="L5:L43" si="10">IF(BA5=0,"",BA5)</f>
        <v/>
      </c>
      <c r="M5" s="135" t="str">
        <f t="shared" ref="M5:M43" si="11">IF(BB5=0,"",BB5)</f>
        <v/>
      </c>
      <c r="N5" s="32" t="str">
        <f ca="1">IF(F5="","",CHOOSE(MATCH($F5,IF($D5="男",INDIRECT(設定!Q51),INDIRECT(設定!R51)),1),0,1,2,3,4,5,6,7,8,9,10))</f>
        <v/>
      </c>
      <c r="O5" s="33" t="str">
        <f ca="1">IF(G5="","",CHOOSE(MATCH(G5,IF($D5="男",INDIRECT(設定!S51),INDIRECT(設定!T51)),1),0,1,2,3,4,5,6,7,8,9,10))</f>
        <v/>
      </c>
      <c r="P5" s="33" t="str">
        <f ca="1">IF(H5="","",CHOOSE(MATCH(H5,IF($D5="男",INDIRECT(設定!U51),INDIRECT(設定!V51)),1),0,1,2,3,4,5,6,7,8,9,10))</f>
        <v/>
      </c>
      <c r="Q5" s="33" t="str">
        <f ca="1">IF(I5="","",CHOOSE(MATCH(I5,IF($D5="男",INDIRECT(設定!W51),INDIRECT(設定!X51)),1),0,1,2,3,4,5,6,7,8,9,10))</f>
        <v/>
      </c>
      <c r="R5" s="33" t="str">
        <f ca="1">IF(J5="","",CHOOSE(MATCH(J5,IF($D5="男",INDIRECT(設定!Y51),INDIRECT(設定!Z51)),1),0,1,2,3,4,5,6,7,8,9,10))</f>
        <v/>
      </c>
      <c r="S5" s="33" t="str">
        <f ca="1">IF(K5="","",CHOOSE(MATCH(K5,IF($D5="男",INDIRECT(設定!AA51),INDIRECT(設定!AB51)),1),10,9,8,7,6,5,4,3,2,1,0))</f>
        <v/>
      </c>
      <c r="T5" s="33" t="str">
        <f ca="1">IF(L5="","",CHOOSE(MATCH(L5,IF($D5="男",INDIRECT(設定!AC51),INDIRECT(設定!AD51)),1),0,1,2,3,4,5,6,7,8,9,10))</f>
        <v/>
      </c>
      <c r="U5" s="38" t="str">
        <f ca="1">IF(M5="","",CHOOSE(MATCH(M5,IF($D5="男",INDIRECT(設定!AE51),INDIRECT(設定!AF51)),1),0,1,2,3,4,5,6,7,8,9,10))</f>
        <v/>
      </c>
      <c r="V5" s="32">
        <f>IF(B5="","",COUNT(F5:M5))</f>
        <v>0</v>
      </c>
      <c r="W5" s="33">
        <f ca="1">IF(B5="","",SUM(N5:U5))</f>
        <v>0</v>
      </c>
      <c r="X5" s="33" t="str">
        <f t="shared" ref="X5:X43" si="12">IF(V5=8,CHOOSE(AA5,"E","D","C","B","A"),"-----")</f>
        <v>-----</v>
      </c>
      <c r="Y5" s="22">
        <f ca="1">IF(B5="","",MIN(N5:R5))</f>
        <v>0</v>
      </c>
      <c r="Z5" s="22">
        <f ca="1">IF(B5="","",MAX(N5:R5))</f>
        <v>0</v>
      </c>
      <c r="AA5" s="54" t="str">
        <f ca="1">IF(V5=8,CHOOSE(MATCH(W5,INDIRECT(設定!AG51),1),1,2,3,4,5),"-----")</f>
        <v>-----</v>
      </c>
      <c r="AB5" s="79" t="str">
        <f t="shared" ref="AB5:AB43" si="13">B5</f>
        <v>A002</v>
      </c>
      <c r="AC5" s="100"/>
      <c r="AD5" s="82"/>
      <c r="AE5" s="83"/>
      <c r="AF5" s="83"/>
      <c r="AG5" s="92"/>
      <c r="AH5" s="84"/>
      <c r="AI5" s="84"/>
      <c r="AJ5" s="85"/>
      <c r="AK5" s="85"/>
      <c r="AL5" s="95"/>
      <c r="AM5" s="83"/>
      <c r="AN5" s="86"/>
      <c r="AO5" s="86"/>
      <c r="AP5" s="87"/>
      <c r="AQ5" s="87"/>
      <c r="AR5" s="81" t="str">
        <f t="shared" si="0"/>
        <v>A002</v>
      </c>
      <c r="AS5" s="88"/>
      <c r="AT5" s="89"/>
      <c r="AU5">
        <f t="shared" si="1"/>
        <v>0</v>
      </c>
      <c r="AV5">
        <f t="shared" si="2"/>
        <v>0</v>
      </c>
      <c r="AW5" s="59">
        <f t="shared" ref="AW5:AW43" si="14">AVERAGE(AU5:AV5)</f>
        <v>0</v>
      </c>
      <c r="AX5" s="8" t="str">
        <f t="shared" ref="AX5:AX43" si="15">FIXED(AW5,0,TRUE)</f>
        <v>0</v>
      </c>
      <c r="AY5">
        <f t="shared" ref="AY5:AY43" si="16">MAX(AH5,AI5)</f>
        <v>0</v>
      </c>
      <c r="AZ5">
        <f t="shared" ref="AZ5:AZ43" si="17">MAX(AJ5,AK5)</f>
        <v>0</v>
      </c>
      <c r="BA5">
        <f t="shared" ref="BA5:BA43" si="18">MAX(AN5,AO5)</f>
        <v>0</v>
      </c>
      <c r="BB5">
        <f t="shared" ref="BB5:BB43" si="19">MAX(AP5,AQ5)</f>
        <v>0</v>
      </c>
      <c r="BC5" s="59">
        <f t="shared" ref="BC5:BC43" si="20">C5</f>
        <v>0</v>
      </c>
      <c r="BD5" s="59" t="str">
        <f t="shared" ref="BD5:BD43" si="21">PHONETIC(C5)</f>
        <v/>
      </c>
    </row>
    <row r="6" spans="1:56" ht="18.600000000000001" customHeight="1">
      <c r="A6" s="35">
        <v>3</v>
      </c>
      <c r="B6" s="36" t="s">
        <v>139</v>
      </c>
      <c r="C6" s="163"/>
      <c r="D6" s="164"/>
      <c r="E6" s="117">
        <f t="shared" si="3"/>
        <v>11</v>
      </c>
      <c r="F6" s="146" t="str">
        <f t="shared" si="4"/>
        <v/>
      </c>
      <c r="G6" s="120" t="str">
        <f t="shared" si="5"/>
        <v/>
      </c>
      <c r="H6" s="67" t="str">
        <f t="shared" si="6"/>
        <v/>
      </c>
      <c r="I6" s="68" t="str">
        <f t="shared" si="7"/>
        <v/>
      </c>
      <c r="J6" s="121" t="str">
        <f t="shared" si="8"/>
        <v/>
      </c>
      <c r="K6" s="122" t="str">
        <f t="shared" si="9"/>
        <v/>
      </c>
      <c r="L6" s="123" t="str">
        <f t="shared" si="10"/>
        <v/>
      </c>
      <c r="M6" s="135" t="str">
        <f t="shared" si="11"/>
        <v/>
      </c>
      <c r="N6" s="32" t="str">
        <f ca="1">IF(F6="","",CHOOSE(MATCH($F6,IF($D6="男",INDIRECT(設定!Q52),INDIRECT(設定!R52)),1),0,1,2,3,4,5,6,7,8,9,10))</f>
        <v/>
      </c>
      <c r="O6" s="33" t="str">
        <f ca="1">IF(G6="","",CHOOSE(MATCH(G6,IF($D6="男",INDIRECT(設定!S52),INDIRECT(設定!T52)),1),0,1,2,3,4,5,6,7,8,9,10))</f>
        <v/>
      </c>
      <c r="P6" s="33" t="str">
        <f ca="1">IF(H6="","",CHOOSE(MATCH(H6,IF($D6="男",INDIRECT(設定!U52),INDIRECT(設定!V52)),1),0,1,2,3,4,5,6,7,8,9,10))</f>
        <v/>
      </c>
      <c r="Q6" s="33" t="str">
        <f ca="1">IF(I6="","",CHOOSE(MATCH(I6,IF($D6="男",INDIRECT(設定!W52),INDIRECT(設定!X52)),1),0,1,2,3,4,5,6,7,8,9,10))</f>
        <v/>
      </c>
      <c r="R6" s="33" t="str">
        <f ca="1">IF(J6="","",CHOOSE(MATCH(J6,IF($D6="男",INDIRECT(設定!Y52),INDIRECT(設定!Z52)),1),0,1,2,3,4,5,6,7,8,9,10))</f>
        <v/>
      </c>
      <c r="S6" s="33" t="str">
        <f ca="1">IF(K6="","",CHOOSE(MATCH(K6,IF($D6="男",INDIRECT(設定!AA52),INDIRECT(設定!AB52)),1),10,9,8,7,6,5,4,3,2,1,0))</f>
        <v/>
      </c>
      <c r="T6" s="33" t="str">
        <f ca="1">IF(L6="","",CHOOSE(MATCH(L6,IF($D6="男",INDIRECT(設定!AC52),INDIRECT(設定!AD52)),1),0,1,2,3,4,5,6,7,8,9,10))</f>
        <v/>
      </c>
      <c r="U6" s="38" t="str">
        <f ca="1">IF(M6="","",CHOOSE(MATCH(M6,IF($D6="男",INDIRECT(設定!AE52),INDIRECT(設定!AF52)),1),0,1,2,3,4,5,6,7,8,9,10))</f>
        <v/>
      </c>
      <c r="V6" s="32">
        <f t="shared" ref="V6:V43" si="22">IF(B6="","",COUNT(F6:M6))</f>
        <v>0</v>
      </c>
      <c r="W6" s="33">
        <f t="shared" ref="W6:W43" ca="1" si="23">IF(B6="","",SUM(N6:U6))</f>
        <v>0</v>
      </c>
      <c r="X6" s="33" t="str">
        <f t="shared" si="12"/>
        <v>-----</v>
      </c>
      <c r="Y6" s="22">
        <f t="shared" ref="Y6:Y35" ca="1" si="24">IF(B6="","",MIN(N6:R6))</f>
        <v>0</v>
      </c>
      <c r="Z6" s="22">
        <f t="shared" ref="Z6:Z35" ca="1" si="25">IF(B6="","",MAX(N6:R6))</f>
        <v>0</v>
      </c>
      <c r="AA6" s="54" t="str">
        <f ca="1">IF(V6=8,CHOOSE(MATCH(W6,INDIRECT(設定!AG52),1),1,2,3,4,5),"-----")</f>
        <v>-----</v>
      </c>
      <c r="AB6" s="79" t="str">
        <f t="shared" si="13"/>
        <v>A003</v>
      </c>
      <c r="AC6" s="100"/>
      <c r="AD6" s="82"/>
      <c r="AE6" s="83"/>
      <c r="AF6" s="83"/>
      <c r="AG6" s="92"/>
      <c r="AH6" s="84"/>
      <c r="AI6" s="84"/>
      <c r="AJ6" s="85"/>
      <c r="AK6" s="85"/>
      <c r="AL6" s="95"/>
      <c r="AM6" s="83"/>
      <c r="AN6" s="86"/>
      <c r="AO6" s="86"/>
      <c r="AP6" s="87"/>
      <c r="AQ6" s="87"/>
      <c r="AR6" s="81" t="str">
        <f t="shared" si="0"/>
        <v>A003</v>
      </c>
      <c r="AS6" s="88"/>
      <c r="AT6" s="89"/>
      <c r="AU6">
        <f t="shared" si="1"/>
        <v>0</v>
      </c>
      <c r="AV6">
        <f t="shared" si="2"/>
        <v>0</v>
      </c>
      <c r="AW6" s="59">
        <f t="shared" si="14"/>
        <v>0</v>
      </c>
      <c r="AX6" s="8" t="str">
        <f t="shared" si="15"/>
        <v>0</v>
      </c>
      <c r="AY6">
        <f t="shared" si="16"/>
        <v>0</v>
      </c>
      <c r="AZ6">
        <f t="shared" si="17"/>
        <v>0</v>
      </c>
      <c r="BA6">
        <f t="shared" si="18"/>
        <v>0</v>
      </c>
      <c r="BB6">
        <f t="shared" si="19"/>
        <v>0</v>
      </c>
      <c r="BC6" s="59">
        <f t="shared" si="20"/>
        <v>0</v>
      </c>
      <c r="BD6" s="59" t="str">
        <f t="shared" si="21"/>
        <v/>
      </c>
    </row>
    <row r="7" spans="1:56" ht="18.600000000000001" customHeight="1">
      <c r="A7" s="35">
        <v>4</v>
      </c>
      <c r="B7" s="36" t="s">
        <v>140</v>
      </c>
      <c r="C7" s="163"/>
      <c r="D7" s="164"/>
      <c r="E7" s="117">
        <f t="shared" si="3"/>
        <v>11</v>
      </c>
      <c r="F7" s="146" t="str">
        <f t="shared" si="4"/>
        <v/>
      </c>
      <c r="G7" s="120" t="str">
        <f t="shared" si="5"/>
        <v/>
      </c>
      <c r="H7" s="67" t="str">
        <f t="shared" si="6"/>
        <v/>
      </c>
      <c r="I7" s="68" t="str">
        <f t="shared" si="7"/>
        <v/>
      </c>
      <c r="J7" s="121" t="str">
        <f t="shared" si="8"/>
        <v/>
      </c>
      <c r="K7" s="122" t="str">
        <f t="shared" si="9"/>
        <v/>
      </c>
      <c r="L7" s="123" t="str">
        <f t="shared" si="10"/>
        <v/>
      </c>
      <c r="M7" s="135" t="str">
        <f t="shared" si="11"/>
        <v/>
      </c>
      <c r="N7" s="32" t="str">
        <f ca="1">IF(F7="","",CHOOSE(MATCH($F7,IF($D7="男",INDIRECT(設定!Q53),INDIRECT(設定!R53)),1),0,1,2,3,4,5,6,7,8,9,10))</f>
        <v/>
      </c>
      <c r="O7" s="33" t="str">
        <f ca="1">IF(G7="","",CHOOSE(MATCH(G7,IF($D7="男",INDIRECT(設定!S53),INDIRECT(設定!T53)),1),0,1,2,3,4,5,6,7,8,9,10))</f>
        <v/>
      </c>
      <c r="P7" s="33" t="str">
        <f ca="1">IF(H7="","",CHOOSE(MATCH(H7,IF($D7="男",INDIRECT(設定!U53),INDIRECT(設定!V53)),1),0,1,2,3,4,5,6,7,8,9,10))</f>
        <v/>
      </c>
      <c r="Q7" s="33" t="str">
        <f ca="1">IF(I7="","",CHOOSE(MATCH(I7,IF($D7="男",INDIRECT(設定!W53),INDIRECT(設定!X53)),1),0,1,2,3,4,5,6,7,8,9,10))</f>
        <v/>
      </c>
      <c r="R7" s="33" t="str">
        <f ca="1">IF(J7="","",CHOOSE(MATCH(J7,IF($D7="男",INDIRECT(設定!Y53),INDIRECT(設定!Z53)),1),0,1,2,3,4,5,6,7,8,9,10))</f>
        <v/>
      </c>
      <c r="S7" s="33" t="str">
        <f ca="1">IF(K7="","",CHOOSE(MATCH(K7,IF($D7="男",INDIRECT(設定!AA53),INDIRECT(設定!AB53)),1),10,9,8,7,6,5,4,3,2,1,0))</f>
        <v/>
      </c>
      <c r="T7" s="33" t="str">
        <f ca="1">IF(L7="","",CHOOSE(MATCH(L7,IF($D7="男",INDIRECT(設定!AC53),INDIRECT(設定!AD53)),1),0,1,2,3,4,5,6,7,8,9,10))</f>
        <v/>
      </c>
      <c r="U7" s="38" t="str">
        <f ca="1">IF(M7="","",CHOOSE(MATCH(M7,IF($D7="男",INDIRECT(設定!AE53),INDIRECT(設定!AF53)),1),0,1,2,3,4,5,6,7,8,9,10))</f>
        <v/>
      </c>
      <c r="V7" s="32">
        <f t="shared" si="22"/>
        <v>0</v>
      </c>
      <c r="W7" s="33">
        <f t="shared" ca="1" si="23"/>
        <v>0</v>
      </c>
      <c r="X7" s="33" t="str">
        <f t="shared" si="12"/>
        <v>-----</v>
      </c>
      <c r="Y7" s="22">
        <f t="shared" ca="1" si="24"/>
        <v>0</v>
      </c>
      <c r="Z7" s="22">
        <f t="shared" ca="1" si="25"/>
        <v>0</v>
      </c>
      <c r="AA7" s="54" t="str">
        <f ca="1">IF(V7=8,CHOOSE(MATCH(W7,INDIRECT(設定!AG53),1),1,2,3,4,5),"-----")</f>
        <v>-----</v>
      </c>
      <c r="AB7" s="79" t="str">
        <f t="shared" si="13"/>
        <v>A004</v>
      </c>
      <c r="AC7" s="100"/>
      <c r="AD7" s="82"/>
      <c r="AE7" s="83"/>
      <c r="AF7" s="83"/>
      <c r="AG7" s="92"/>
      <c r="AH7" s="84"/>
      <c r="AI7" s="84"/>
      <c r="AJ7" s="85"/>
      <c r="AK7" s="85"/>
      <c r="AL7" s="95"/>
      <c r="AM7" s="83"/>
      <c r="AN7" s="86"/>
      <c r="AO7" s="86"/>
      <c r="AP7" s="87"/>
      <c r="AQ7" s="87"/>
      <c r="AR7" s="81" t="str">
        <f t="shared" si="0"/>
        <v>A004</v>
      </c>
      <c r="AS7" s="88"/>
      <c r="AT7" s="89"/>
      <c r="AU7">
        <f t="shared" si="1"/>
        <v>0</v>
      </c>
      <c r="AV7">
        <f t="shared" si="2"/>
        <v>0</v>
      </c>
      <c r="AW7" s="59">
        <f t="shared" si="14"/>
        <v>0</v>
      </c>
      <c r="AX7" s="8" t="str">
        <f t="shared" si="15"/>
        <v>0</v>
      </c>
      <c r="AY7">
        <f t="shared" si="16"/>
        <v>0</v>
      </c>
      <c r="AZ7">
        <f t="shared" si="17"/>
        <v>0</v>
      </c>
      <c r="BA7">
        <f t="shared" si="18"/>
        <v>0</v>
      </c>
      <c r="BB7">
        <f t="shared" si="19"/>
        <v>0</v>
      </c>
      <c r="BC7" s="59">
        <f t="shared" si="20"/>
        <v>0</v>
      </c>
      <c r="BD7" s="59" t="str">
        <f t="shared" si="21"/>
        <v/>
      </c>
    </row>
    <row r="8" spans="1:56" ht="18.600000000000001" customHeight="1" thickBot="1">
      <c r="A8" s="43">
        <v>5</v>
      </c>
      <c r="B8" s="36" t="s">
        <v>141</v>
      </c>
      <c r="C8" s="163"/>
      <c r="D8" s="164"/>
      <c r="E8" s="118">
        <f t="shared" si="3"/>
        <v>11</v>
      </c>
      <c r="F8" s="148" t="str">
        <f t="shared" si="4"/>
        <v/>
      </c>
      <c r="G8" s="136" t="str">
        <f t="shared" si="5"/>
        <v/>
      </c>
      <c r="H8" s="70" t="str">
        <f t="shared" si="6"/>
        <v/>
      </c>
      <c r="I8" s="71" t="str">
        <f t="shared" si="7"/>
        <v/>
      </c>
      <c r="J8" s="137" t="str">
        <f t="shared" si="8"/>
        <v/>
      </c>
      <c r="K8" s="138" t="str">
        <f t="shared" si="9"/>
        <v/>
      </c>
      <c r="L8" s="72" t="str">
        <f t="shared" si="10"/>
        <v/>
      </c>
      <c r="M8" s="73" t="str">
        <f t="shared" si="11"/>
        <v/>
      </c>
      <c r="N8" s="47" t="str">
        <f ca="1">IF(F8="","",CHOOSE(MATCH($F8,IF($D8="男",INDIRECT(設定!Q54),INDIRECT(設定!R54)),1),0,1,2,3,4,5,6,7,8,9,10))</f>
        <v/>
      </c>
      <c r="O8" s="48" t="str">
        <f ca="1">IF(G8="","",CHOOSE(MATCH(G8,IF($D8="男",INDIRECT(設定!S54),INDIRECT(設定!T54)),1),0,1,2,3,4,5,6,7,8,9,10))</f>
        <v/>
      </c>
      <c r="P8" s="48" t="str">
        <f ca="1">IF(H8="","",CHOOSE(MATCH(H8,IF($D8="男",INDIRECT(設定!U54),INDIRECT(設定!V54)),1),0,1,2,3,4,5,6,7,8,9,10))</f>
        <v/>
      </c>
      <c r="Q8" s="48" t="str">
        <f ca="1">IF(I8="","",CHOOSE(MATCH(I8,IF($D8="男",INDIRECT(設定!W54),INDIRECT(設定!X54)),1),0,1,2,3,4,5,6,7,8,9,10))</f>
        <v/>
      </c>
      <c r="R8" s="48" t="str">
        <f ca="1">IF(J8="","",CHOOSE(MATCH(J8,IF($D8="男",INDIRECT(設定!Y54),INDIRECT(設定!Z54)),1),0,1,2,3,4,5,6,7,8,9,10))</f>
        <v/>
      </c>
      <c r="S8" s="48" t="str">
        <f ca="1">IF(K8="","",CHOOSE(MATCH(K8,IF($D8="男",INDIRECT(設定!AA54),INDIRECT(設定!AB54)),1),10,9,8,7,6,5,4,3,2,1,0))</f>
        <v/>
      </c>
      <c r="T8" s="48" t="str">
        <f ca="1">IF(L8="","",CHOOSE(MATCH(L8,IF($D8="男",INDIRECT(設定!AC54),INDIRECT(設定!AD54)),1),0,1,2,3,4,5,6,7,8,9,10))</f>
        <v/>
      </c>
      <c r="U8" s="49" t="str">
        <f ca="1">IF(M8="","",CHOOSE(MATCH(M8,IF($D8="男",INDIRECT(設定!AE54),INDIRECT(設定!AF54)),1),0,1,2,3,4,5,6,7,8,9,10))</f>
        <v/>
      </c>
      <c r="V8" s="47">
        <f t="shared" si="22"/>
        <v>0</v>
      </c>
      <c r="W8" s="48">
        <f t="shared" ca="1" si="23"/>
        <v>0</v>
      </c>
      <c r="X8" s="48" t="str">
        <f t="shared" si="12"/>
        <v>-----</v>
      </c>
      <c r="Y8" s="22">
        <f t="shared" ca="1" si="24"/>
        <v>0</v>
      </c>
      <c r="Z8" s="22">
        <f t="shared" ca="1" si="25"/>
        <v>0</v>
      </c>
      <c r="AA8" s="54" t="str">
        <f ca="1">IF(V8=8,CHOOSE(MATCH(W8,INDIRECT(設定!AG54),1),1,2,3,4,5),"-----")</f>
        <v>-----</v>
      </c>
      <c r="AB8" s="79" t="str">
        <f t="shared" si="13"/>
        <v>A005</v>
      </c>
      <c r="AC8" s="100"/>
      <c r="AD8" s="82"/>
      <c r="AE8" s="83"/>
      <c r="AF8" s="83"/>
      <c r="AG8" s="92"/>
      <c r="AH8" s="84"/>
      <c r="AI8" s="84"/>
      <c r="AJ8" s="85"/>
      <c r="AK8" s="85"/>
      <c r="AL8" s="95"/>
      <c r="AM8" s="83"/>
      <c r="AN8" s="86"/>
      <c r="AO8" s="86"/>
      <c r="AP8" s="87"/>
      <c r="AQ8" s="87"/>
      <c r="AR8" s="81" t="str">
        <f t="shared" si="0"/>
        <v>A005</v>
      </c>
      <c r="AS8" s="88"/>
      <c r="AT8" s="89"/>
      <c r="AU8">
        <f t="shared" si="1"/>
        <v>0</v>
      </c>
      <c r="AV8">
        <f t="shared" si="2"/>
        <v>0</v>
      </c>
      <c r="AW8" s="59">
        <f t="shared" si="14"/>
        <v>0</v>
      </c>
      <c r="AX8" s="8" t="str">
        <f t="shared" si="15"/>
        <v>0</v>
      </c>
      <c r="AY8">
        <f t="shared" si="16"/>
        <v>0</v>
      </c>
      <c r="AZ8">
        <f t="shared" si="17"/>
        <v>0</v>
      </c>
      <c r="BA8">
        <f t="shared" si="18"/>
        <v>0</v>
      </c>
      <c r="BB8">
        <f t="shared" si="19"/>
        <v>0</v>
      </c>
      <c r="BC8" s="59">
        <f t="shared" si="20"/>
        <v>0</v>
      </c>
      <c r="BD8" s="59" t="str">
        <f t="shared" si="21"/>
        <v/>
      </c>
    </row>
    <row r="9" spans="1:56" ht="18.600000000000001" customHeight="1" thickTop="1">
      <c r="A9" s="29">
        <v>6</v>
      </c>
      <c r="B9" s="36" t="s">
        <v>142</v>
      </c>
      <c r="C9" s="163"/>
      <c r="D9" s="164"/>
      <c r="E9" s="119">
        <f t="shared" si="3"/>
        <v>11</v>
      </c>
      <c r="F9" s="147" t="str">
        <f t="shared" si="4"/>
        <v/>
      </c>
      <c r="G9" s="99" t="str">
        <f t="shared" si="5"/>
        <v/>
      </c>
      <c r="H9" s="69" t="str">
        <f t="shared" si="6"/>
        <v/>
      </c>
      <c r="I9" s="62" t="str">
        <f t="shared" si="7"/>
        <v/>
      </c>
      <c r="J9" s="97" t="str">
        <f t="shared" si="8"/>
        <v/>
      </c>
      <c r="K9" s="98" t="str">
        <f t="shared" si="9"/>
        <v/>
      </c>
      <c r="L9" s="63" t="str">
        <f t="shared" si="10"/>
        <v/>
      </c>
      <c r="M9" s="65" t="str">
        <f t="shared" si="11"/>
        <v/>
      </c>
      <c r="N9" s="32" t="str">
        <f ca="1">IF(F9="","",CHOOSE(MATCH($F9,IF($D9="男",INDIRECT(設定!Q55),INDIRECT(設定!R55)),1),0,1,2,3,4,5,6,7,8,9,10))</f>
        <v/>
      </c>
      <c r="O9" s="33" t="str">
        <f ca="1">IF(G9="","",CHOOSE(MATCH(G9,IF($D9="男",INDIRECT(設定!S55),INDIRECT(設定!T55)),1),0,1,2,3,4,5,6,7,8,9,10))</f>
        <v/>
      </c>
      <c r="P9" s="33" t="str">
        <f ca="1">IF(H9="","",CHOOSE(MATCH(H9,IF($D9="男",INDIRECT(設定!U55),INDIRECT(設定!V55)),1),0,1,2,3,4,5,6,7,8,9,10))</f>
        <v/>
      </c>
      <c r="Q9" s="33" t="str">
        <f ca="1">IF(I9="","",CHOOSE(MATCH(I9,IF($D9="男",INDIRECT(設定!W55),INDIRECT(設定!X55)),1),0,1,2,3,4,5,6,7,8,9,10))</f>
        <v/>
      </c>
      <c r="R9" s="33" t="str">
        <f ca="1">IF(J9="","",CHOOSE(MATCH(J9,IF($D9="男",INDIRECT(設定!Y55),INDIRECT(設定!Z55)),1),0,1,2,3,4,5,6,7,8,9,10))</f>
        <v/>
      </c>
      <c r="S9" s="33" t="str">
        <f ca="1">IF(K9="","",CHOOSE(MATCH(K9,IF($D9="男",INDIRECT(設定!AA55),INDIRECT(設定!AB55)),1),10,9,8,7,6,5,4,3,2,1,0))</f>
        <v/>
      </c>
      <c r="T9" s="33" t="str">
        <f ca="1">IF(L9="","",CHOOSE(MATCH(L9,IF($D9="男",INDIRECT(設定!AC55),INDIRECT(設定!AD55)),1),0,1,2,3,4,5,6,7,8,9,10))</f>
        <v/>
      </c>
      <c r="U9" s="45" t="str">
        <f ca="1">IF(M9="","",CHOOSE(MATCH(M9,IF($D9="男",INDIRECT(設定!AE55),INDIRECT(設定!AF55)),1),0,1,2,3,4,5,6,7,8,9,10))</f>
        <v/>
      </c>
      <c r="V9" s="32">
        <f t="shared" si="22"/>
        <v>0</v>
      </c>
      <c r="W9" s="33">
        <f t="shared" ca="1" si="23"/>
        <v>0</v>
      </c>
      <c r="X9" s="33" t="str">
        <f t="shared" si="12"/>
        <v>-----</v>
      </c>
      <c r="Y9" s="22">
        <f t="shared" ca="1" si="24"/>
        <v>0</v>
      </c>
      <c r="Z9" s="22">
        <f t="shared" ca="1" si="25"/>
        <v>0</v>
      </c>
      <c r="AA9" s="54" t="str">
        <f ca="1">IF(V9=8,CHOOSE(MATCH(W9,INDIRECT(設定!AG55),1),1,2,3,4,5),"-----")</f>
        <v>-----</v>
      </c>
      <c r="AB9" s="79" t="str">
        <f t="shared" si="13"/>
        <v>A006</v>
      </c>
      <c r="AC9" s="100"/>
      <c r="AD9" s="82"/>
      <c r="AE9" s="83"/>
      <c r="AF9" s="83"/>
      <c r="AG9" s="92"/>
      <c r="AH9" s="84"/>
      <c r="AI9" s="84"/>
      <c r="AJ9" s="85"/>
      <c r="AK9" s="85"/>
      <c r="AL9" s="95"/>
      <c r="AM9" s="83"/>
      <c r="AN9" s="86"/>
      <c r="AO9" s="86"/>
      <c r="AP9" s="87"/>
      <c r="AQ9" s="87"/>
      <c r="AR9" s="81" t="str">
        <f t="shared" si="0"/>
        <v>A006</v>
      </c>
      <c r="AS9" s="88"/>
      <c r="AT9" s="89"/>
      <c r="AU9">
        <f t="shared" si="1"/>
        <v>0</v>
      </c>
      <c r="AV9">
        <f t="shared" si="2"/>
        <v>0</v>
      </c>
      <c r="AW9" s="59">
        <f t="shared" si="14"/>
        <v>0</v>
      </c>
      <c r="AX9" s="8" t="str">
        <f t="shared" si="15"/>
        <v>0</v>
      </c>
      <c r="AY9">
        <f t="shared" si="16"/>
        <v>0</v>
      </c>
      <c r="AZ9">
        <f t="shared" si="17"/>
        <v>0</v>
      </c>
      <c r="BA9">
        <f t="shared" si="18"/>
        <v>0</v>
      </c>
      <c r="BB9">
        <f t="shared" si="19"/>
        <v>0</v>
      </c>
      <c r="BC9" s="59">
        <f t="shared" si="20"/>
        <v>0</v>
      </c>
      <c r="BD9" s="59" t="str">
        <f t="shared" si="21"/>
        <v/>
      </c>
    </row>
    <row r="10" spans="1:56" ht="18.600000000000001" customHeight="1">
      <c r="A10" s="35">
        <v>7</v>
      </c>
      <c r="B10" s="36" t="s">
        <v>143</v>
      </c>
      <c r="C10" s="163"/>
      <c r="D10" s="164"/>
      <c r="E10" s="117">
        <f t="shared" si="3"/>
        <v>11</v>
      </c>
      <c r="F10" s="146" t="str">
        <f t="shared" si="4"/>
        <v/>
      </c>
      <c r="G10" s="120" t="str">
        <f t="shared" si="5"/>
        <v/>
      </c>
      <c r="H10" s="67" t="str">
        <f t="shared" si="6"/>
        <v/>
      </c>
      <c r="I10" s="68" t="str">
        <f t="shared" si="7"/>
        <v/>
      </c>
      <c r="J10" s="121" t="str">
        <f t="shared" si="8"/>
        <v/>
      </c>
      <c r="K10" s="122" t="str">
        <f t="shared" si="9"/>
        <v/>
      </c>
      <c r="L10" s="123" t="str">
        <f t="shared" si="10"/>
        <v/>
      </c>
      <c r="M10" s="135" t="str">
        <f t="shared" si="11"/>
        <v/>
      </c>
      <c r="N10" s="32" t="str">
        <f ca="1">IF(F10="","",CHOOSE(MATCH($F10,IF($D10="男",INDIRECT(設定!Q56),INDIRECT(設定!R56)),1),0,1,2,3,4,5,6,7,8,9,10))</f>
        <v/>
      </c>
      <c r="O10" s="33" t="str">
        <f ca="1">IF(G10="","",CHOOSE(MATCH(G10,IF($D10="男",INDIRECT(設定!S56),INDIRECT(設定!T56)),1),0,1,2,3,4,5,6,7,8,9,10))</f>
        <v/>
      </c>
      <c r="P10" s="33" t="str">
        <f ca="1">IF(H10="","",CHOOSE(MATCH(H10,IF($D10="男",INDIRECT(設定!U56),INDIRECT(設定!V56)),1),0,1,2,3,4,5,6,7,8,9,10))</f>
        <v/>
      </c>
      <c r="Q10" s="33" t="str">
        <f ca="1">IF(I10="","",CHOOSE(MATCH(I10,IF($D10="男",INDIRECT(設定!W56),INDIRECT(設定!X56)),1),0,1,2,3,4,5,6,7,8,9,10))</f>
        <v/>
      </c>
      <c r="R10" s="33" t="str">
        <f ca="1">IF(J10="","",CHOOSE(MATCH(J10,IF($D10="男",INDIRECT(設定!Y56),INDIRECT(設定!Z56)),1),0,1,2,3,4,5,6,7,8,9,10))</f>
        <v/>
      </c>
      <c r="S10" s="33" t="str">
        <f ca="1">IF(K10="","",CHOOSE(MATCH(K10,IF($D10="男",INDIRECT(設定!AA56),INDIRECT(設定!AB56)),1),10,9,8,7,6,5,4,3,2,1,0))</f>
        <v/>
      </c>
      <c r="T10" s="33" t="str">
        <f ca="1">IF(L10="","",CHOOSE(MATCH(L10,IF($D10="男",INDIRECT(設定!AC56),INDIRECT(設定!AD56)),1),0,1,2,3,4,5,6,7,8,9,10))</f>
        <v/>
      </c>
      <c r="U10" s="38" t="str">
        <f ca="1">IF(M10="","",CHOOSE(MATCH(M10,IF($D10="男",INDIRECT(設定!AE56),INDIRECT(設定!AF56)),1),0,1,2,3,4,5,6,7,8,9,10))</f>
        <v/>
      </c>
      <c r="V10" s="32">
        <f t="shared" si="22"/>
        <v>0</v>
      </c>
      <c r="W10" s="33">
        <f t="shared" ca="1" si="23"/>
        <v>0</v>
      </c>
      <c r="X10" s="33" t="str">
        <f t="shared" si="12"/>
        <v>-----</v>
      </c>
      <c r="Y10" s="22">
        <f t="shared" ca="1" si="24"/>
        <v>0</v>
      </c>
      <c r="Z10" s="22">
        <f t="shared" ca="1" si="25"/>
        <v>0</v>
      </c>
      <c r="AA10" s="54" t="str">
        <f ca="1">IF(V10=8,CHOOSE(MATCH(W10,INDIRECT(設定!AG56),1),1,2,3,4,5),"-----")</f>
        <v>-----</v>
      </c>
      <c r="AB10" s="79" t="str">
        <f t="shared" si="13"/>
        <v>A007</v>
      </c>
      <c r="AC10" s="100"/>
      <c r="AD10" s="82"/>
      <c r="AE10" s="83"/>
      <c r="AF10" s="83"/>
      <c r="AG10" s="92"/>
      <c r="AH10" s="84"/>
      <c r="AI10" s="84"/>
      <c r="AJ10" s="85"/>
      <c r="AK10" s="85"/>
      <c r="AL10" s="95"/>
      <c r="AM10" s="83"/>
      <c r="AN10" s="86"/>
      <c r="AO10" s="86"/>
      <c r="AP10" s="87"/>
      <c r="AQ10" s="87"/>
      <c r="AR10" s="81" t="str">
        <f t="shared" si="0"/>
        <v>A007</v>
      </c>
      <c r="AS10" s="88"/>
      <c r="AT10" s="89"/>
      <c r="AU10">
        <f t="shared" si="1"/>
        <v>0</v>
      </c>
      <c r="AV10">
        <f t="shared" si="2"/>
        <v>0</v>
      </c>
      <c r="AW10" s="59">
        <f t="shared" si="14"/>
        <v>0</v>
      </c>
      <c r="AX10" s="8" t="str">
        <f t="shared" si="15"/>
        <v>0</v>
      </c>
      <c r="AY10">
        <f t="shared" si="16"/>
        <v>0</v>
      </c>
      <c r="AZ10">
        <f t="shared" si="17"/>
        <v>0</v>
      </c>
      <c r="BA10">
        <f t="shared" si="18"/>
        <v>0</v>
      </c>
      <c r="BB10">
        <f t="shared" si="19"/>
        <v>0</v>
      </c>
      <c r="BC10" s="59">
        <f t="shared" si="20"/>
        <v>0</v>
      </c>
      <c r="BD10" s="59" t="str">
        <f t="shared" si="21"/>
        <v/>
      </c>
    </row>
    <row r="11" spans="1:56" ht="18.600000000000001" customHeight="1">
      <c r="A11" s="35">
        <v>8</v>
      </c>
      <c r="B11" s="36" t="s">
        <v>144</v>
      </c>
      <c r="C11" s="163"/>
      <c r="D11" s="164"/>
      <c r="E11" s="117">
        <f t="shared" si="3"/>
        <v>11</v>
      </c>
      <c r="F11" s="146" t="str">
        <f t="shared" si="4"/>
        <v/>
      </c>
      <c r="G11" s="120" t="str">
        <f t="shared" si="5"/>
        <v/>
      </c>
      <c r="H11" s="67" t="str">
        <f t="shared" si="6"/>
        <v/>
      </c>
      <c r="I11" s="68" t="str">
        <f t="shared" si="7"/>
        <v/>
      </c>
      <c r="J11" s="121" t="str">
        <f t="shared" si="8"/>
        <v/>
      </c>
      <c r="K11" s="122" t="str">
        <f t="shared" si="9"/>
        <v/>
      </c>
      <c r="L11" s="123" t="str">
        <f t="shared" si="10"/>
        <v/>
      </c>
      <c r="M11" s="135" t="str">
        <f t="shared" si="11"/>
        <v/>
      </c>
      <c r="N11" s="32" t="str">
        <f ca="1">IF(F11="","",CHOOSE(MATCH($F11,IF($D11="男",INDIRECT(設定!Q57),INDIRECT(設定!R57)),1),0,1,2,3,4,5,6,7,8,9,10))</f>
        <v/>
      </c>
      <c r="O11" s="33" t="str">
        <f ca="1">IF(G11="","",CHOOSE(MATCH(G11,IF($D11="男",INDIRECT(設定!S57),INDIRECT(設定!T57)),1),0,1,2,3,4,5,6,7,8,9,10))</f>
        <v/>
      </c>
      <c r="P11" s="33" t="str">
        <f ca="1">IF(H11="","",CHOOSE(MATCH(H11,IF($D11="男",INDIRECT(設定!U57),INDIRECT(設定!V57)),1),0,1,2,3,4,5,6,7,8,9,10))</f>
        <v/>
      </c>
      <c r="Q11" s="33" t="str">
        <f ca="1">IF(I11="","",CHOOSE(MATCH(I11,IF($D11="男",INDIRECT(設定!W57),INDIRECT(設定!X57)),1),0,1,2,3,4,5,6,7,8,9,10))</f>
        <v/>
      </c>
      <c r="R11" s="33" t="str">
        <f ca="1">IF(J11="","",CHOOSE(MATCH(J11,IF($D11="男",INDIRECT(設定!Y57),INDIRECT(設定!Z57)),1),0,1,2,3,4,5,6,7,8,9,10))</f>
        <v/>
      </c>
      <c r="S11" s="33" t="str">
        <f ca="1">IF(K11="","",CHOOSE(MATCH(K11,IF($D11="男",INDIRECT(設定!AA57),INDIRECT(設定!AB57)),1),10,9,8,7,6,5,4,3,2,1,0))</f>
        <v/>
      </c>
      <c r="T11" s="33" t="str">
        <f ca="1">IF(L11="","",CHOOSE(MATCH(L11,IF($D11="男",INDIRECT(設定!AC57),INDIRECT(設定!AD57)),1),0,1,2,3,4,5,6,7,8,9,10))</f>
        <v/>
      </c>
      <c r="U11" s="38" t="str">
        <f ca="1">IF(M11="","",CHOOSE(MATCH(M11,IF($D11="男",INDIRECT(設定!AE57),INDIRECT(設定!AF57)),1),0,1,2,3,4,5,6,7,8,9,10))</f>
        <v/>
      </c>
      <c r="V11" s="32">
        <f t="shared" si="22"/>
        <v>0</v>
      </c>
      <c r="W11" s="33">
        <f t="shared" ca="1" si="23"/>
        <v>0</v>
      </c>
      <c r="X11" s="33" t="str">
        <f t="shared" si="12"/>
        <v>-----</v>
      </c>
      <c r="Y11" s="22">
        <f t="shared" ca="1" si="24"/>
        <v>0</v>
      </c>
      <c r="Z11" s="22">
        <f t="shared" ca="1" si="25"/>
        <v>0</v>
      </c>
      <c r="AA11" s="54" t="str">
        <f ca="1">IF(V11=8,CHOOSE(MATCH(W11,INDIRECT(設定!AG57),1),1,2,3,4,5),"-----")</f>
        <v>-----</v>
      </c>
      <c r="AB11" s="79" t="str">
        <f t="shared" si="13"/>
        <v>A008</v>
      </c>
      <c r="AC11" s="100"/>
      <c r="AD11" s="82"/>
      <c r="AE11" s="83"/>
      <c r="AF11" s="83"/>
      <c r="AG11" s="92"/>
      <c r="AH11" s="84"/>
      <c r="AI11" s="84"/>
      <c r="AJ11" s="85"/>
      <c r="AK11" s="85"/>
      <c r="AL11" s="95"/>
      <c r="AM11" s="83"/>
      <c r="AN11" s="86"/>
      <c r="AO11" s="86"/>
      <c r="AP11" s="87"/>
      <c r="AQ11" s="87"/>
      <c r="AR11" s="81" t="str">
        <f t="shared" si="0"/>
        <v>A008</v>
      </c>
      <c r="AS11" s="88"/>
      <c r="AT11" s="89"/>
      <c r="AU11">
        <f t="shared" si="1"/>
        <v>0</v>
      </c>
      <c r="AV11">
        <f t="shared" si="2"/>
        <v>0</v>
      </c>
      <c r="AW11" s="59">
        <f t="shared" si="14"/>
        <v>0</v>
      </c>
      <c r="AX11" s="8" t="str">
        <f t="shared" si="15"/>
        <v>0</v>
      </c>
      <c r="AY11">
        <f t="shared" si="16"/>
        <v>0</v>
      </c>
      <c r="AZ11">
        <f t="shared" si="17"/>
        <v>0</v>
      </c>
      <c r="BA11">
        <f t="shared" si="18"/>
        <v>0</v>
      </c>
      <c r="BB11">
        <f t="shared" si="19"/>
        <v>0</v>
      </c>
      <c r="BC11" s="59">
        <f t="shared" si="20"/>
        <v>0</v>
      </c>
      <c r="BD11" s="59" t="str">
        <f t="shared" si="21"/>
        <v/>
      </c>
    </row>
    <row r="12" spans="1:56" ht="18.600000000000001" customHeight="1">
      <c r="A12" s="35">
        <v>9</v>
      </c>
      <c r="B12" s="36" t="s">
        <v>145</v>
      </c>
      <c r="C12" s="163"/>
      <c r="D12" s="164"/>
      <c r="E12" s="117">
        <f t="shared" si="3"/>
        <v>11</v>
      </c>
      <c r="F12" s="146" t="str">
        <f t="shared" si="4"/>
        <v/>
      </c>
      <c r="G12" s="120" t="str">
        <f t="shared" si="5"/>
        <v/>
      </c>
      <c r="H12" s="67" t="str">
        <f t="shared" si="6"/>
        <v/>
      </c>
      <c r="I12" s="68" t="str">
        <f t="shared" si="7"/>
        <v/>
      </c>
      <c r="J12" s="121" t="str">
        <f t="shared" si="8"/>
        <v/>
      </c>
      <c r="K12" s="122" t="str">
        <f t="shared" si="9"/>
        <v/>
      </c>
      <c r="L12" s="123" t="str">
        <f t="shared" si="10"/>
        <v/>
      </c>
      <c r="M12" s="135" t="str">
        <f t="shared" si="11"/>
        <v/>
      </c>
      <c r="N12" s="32" t="str">
        <f ca="1">IF(F12="","",CHOOSE(MATCH($F12,IF($D12="男",INDIRECT(設定!Q58),INDIRECT(設定!R58)),1),0,1,2,3,4,5,6,7,8,9,10))</f>
        <v/>
      </c>
      <c r="O12" s="33" t="str">
        <f ca="1">IF(G12="","",CHOOSE(MATCH(G12,IF($D12="男",INDIRECT(設定!S58),INDIRECT(設定!T58)),1),0,1,2,3,4,5,6,7,8,9,10))</f>
        <v/>
      </c>
      <c r="P12" s="33" t="str">
        <f ca="1">IF(H12="","",CHOOSE(MATCH(H12,IF($D12="男",INDIRECT(設定!U58),INDIRECT(設定!V58)),1),0,1,2,3,4,5,6,7,8,9,10))</f>
        <v/>
      </c>
      <c r="Q12" s="33" t="str">
        <f ca="1">IF(I12="","",CHOOSE(MATCH(I12,IF($D12="男",INDIRECT(設定!W58),INDIRECT(設定!X58)),1),0,1,2,3,4,5,6,7,8,9,10))</f>
        <v/>
      </c>
      <c r="R12" s="33" t="str">
        <f ca="1">IF(J12="","",CHOOSE(MATCH(J12,IF($D12="男",INDIRECT(設定!Y58),INDIRECT(設定!Z58)),1),0,1,2,3,4,5,6,7,8,9,10))</f>
        <v/>
      </c>
      <c r="S12" s="33" t="str">
        <f ca="1">IF(K12="","",CHOOSE(MATCH(K12,IF($D12="男",INDIRECT(設定!AA58),INDIRECT(設定!AB58)),1),10,9,8,7,6,5,4,3,2,1,0))</f>
        <v/>
      </c>
      <c r="T12" s="33" t="str">
        <f ca="1">IF(L12="","",CHOOSE(MATCH(L12,IF($D12="男",INDIRECT(設定!AC58),INDIRECT(設定!AD58)),1),0,1,2,3,4,5,6,7,8,9,10))</f>
        <v/>
      </c>
      <c r="U12" s="38" t="str">
        <f ca="1">IF(M12="","",CHOOSE(MATCH(M12,IF($D12="男",INDIRECT(設定!AE58),INDIRECT(設定!AF58)),1),0,1,2,3,4,5,6,7,8,9,10))</f>
        <v/>
      </c>
      <c r="V12" s="32">
        <f t="shared" si="22"/>
        <v>0</v>
      </c>
      <c r="W12" s="33">
        <f t="shared" ca="1" si="23"/>
        <v>0</v>
      </c>
      <c r="X12" s="33" t="str">
        <f t="shared" si="12"/>
        <v>-----</v>
      </c>
      <c r="Y12" s="22">
        <f t="shared" ca="1" si="24"/>
        <v>0</v>
      </c>
      <c r="Z12" s="22">
        <f t="shared" ca="1" si="25"/>
        <v>0</v>
      </c>
      <c r="AA12" s="54" t="str">
        <f ca="1">IF(V12=8,CHOOSE(MATCH(W12,INDIRECT(設定!AG58),1),1,2,3,4,5),"-----")</f>
        <v>-----</v>
      </c>
      <c r="AB12" s="79" t="str">
        <f t="shared" si="13"/>
        <v>A009</v>
      </c>
      <c r="AC12" s="100"/>
      <c r="AD12" s="82"/>
      <c r="AE12" s="83"/>
      <c r="AF12" s="83"/>
      <c r="AG12" s="92"/>
      <c r="AH12" s="84"/>
      <c r="AI12" s="84"/>
      <c r="AJ12" s="85"/>
      <c r="AK12" s="85"/>
      <c r="AL12" s="95"/>
      <c r="AM12" s="83"/>
      <c r="AN12" s="86"/>
      <c r="AO12" s="86"/>
      <c r="AP12" s="87"/>
      <c r="AQ12" s="87"/>
      <c r="AR12" s="81" t="str">
        <f t="shared" si="0"/>
        <v>A009</v>
      </c>
      <c r="AS12" s="88"/>
      <c r="AT12" s="89"/>
      <c r="AU12">
        <f t="shared" si="1"/>
        <v>0</v>
      </c>
      <c r="AV12">
        <f t="shared" si="2"/>
        <v>0</v>
      </c>
      <c r="AW12" s="59">
        <f t="shared" si="14"/>
        <v>0</v>
      </c>
      <c r="AX12" s="8" t="str">
        <f t="shared" si="15"/>
        <v>0</v>
      </c>
      <c r="AY12">
        <f t="shared" si="16"/>
        <v>0</v>
      </c>
      <c r="AZ12">
        <f t="shared" si="17"/>
        <v>0</v>
      </c>
      <c r="BA12">
        <f t="shared" si="18"/>
        <v>0</v>
      </c>
      <c r="BB12">
        <f t="shared" si="19"/>
        <v>0</v>
      </c>
      <c r="BC12" s="59">
        <f t="shared" si="20"/>
        <v>0</v>
      </c>
      <c r="BD12" s="59" t="str">
        <f t="shared" si="21"/>
        <v/>
      </c>
    </row>
    <row r="13" spans="1:56" ht="18.600000000000001" customHeight="1" thickBot="1">
      <c r="A13" s="43">
        <v>10</v>
      </c>
      <c r="B13" s="36" t="s">
        <v>146</v>
      </c>
      <c r="C13" s="163"/>
      <c r="D13" s="164"/>
      <c r="E13" s="118">
        <f t="shared" si="3"/>
        <v>11</v>
      </c>
      <c r="F13" s="149" t="str">
        <f t="shared" si="4"/>
        <v/>
      </c>
      <c r="G13" s="139" t="str">
        <f t="shared" si="5"/>
        <v/>
      </c>
      <c r="H13" s="66" t="str">
        <f t="shared" si="6"/>
        <v/>
      </c>
      <c r="I13" s="140" t="str">
        <f t="shared" si="7"/>
        <v/>
      </c>
      <c r="J13" s="141" t="str">
        <f t="shared" si="8"/>
        <v/>
      </c>
      <c r="K13" s="142" t="str">
        <f t="shared" si="9"/>
        <v/>
      </c>
      <c r="L13" s="143" t="str">
        <f t="shared" si="10"/>
        <v/>
      </c>
      <c r="M13" s="144" t="str">
        <f t="shared" si="11"/>
        <v/>
      </c>
      <c r="N13" s="47" t="str">
        <f ca="1">IF(F13="","",CHOOSE(MATCH($F13,IF($D13="男",INDIRECT(設定!Q59),INDIRECT(設定!R59)),1),0,1,2,3,4,5,6,7,8,9,10))</f>
        <v/>
      </c>
      <c r="O13" s="48" t="str">
        <f ca="1">IF(G13="","",CHOOSE(MATCH(G13,IF($D13="男",INDIRECT(設定!S59),INDIRECT(設定!T59)),1),0,1,2,3,4,5,6,7,8,9,10))</f>
        <v/>
      </c>
      <c r="P13" s="48" t="str">
        <f ca="1">IF(H13="","",CHOOSE(MATCH(H13,IF($D13="男",INDIRECT(設定!U59),INDIRECT(設定!V59)),1),0,1,2,3,4,5,6,7,8,9,10))</f>
        <v/>
      </c>
      <c r="Q13" s="48" t="str">
        <f ca="1">IF(I13="","",CHOOSE(MATCH(I13,IF($D13="男",INDIRECT(設定!W59),INDIRECT(設定!X59)),1),0,1,2,3,4,5,6,7,8,9,10))</f>
        <v/>
      </c>
      <c r="R13" s="48" t="str">
        <f ca="1">IF(J13="","",CHOOSE(MATCH(J13,IF($D13="男",INDIRECT(設定!Y59),INDIRECT(設定!Z59)),1),0,1,2,3,4,5,6,7,8,9,10))</f>
        <v/>
      </c>
      <c r="S13" s="48" t="str">
        <f ca="1">IF(K13="","",CHOOSE(MATCH(K13,IF($D13="男",INDIRECT(設定!AA59),INDIRECT(設定!AB59)),1),10,9,8,7,6,5,4,3,2,1,0))</f>
        <v/>
      </c>
      <c r="T13" s="48" t="str">
        <f ca="1">IF(L13="","",CHOOSE(MATCH(L13,IF($D13="男",INDIRECT(設定!AC59),INDIRECT(設定!AD59)),1),0,1,2,3,4,5,6,7,8,9,10))</f>
        <v/>
      </c>
      <c r="U13" s="49" t="str">
        <f ca="1">IF(M13="","",CHOOSE(MATCH(M13,IF($D13="男",INDIRECT(設定!AE59),INDIRECT(設定!AF59)),1),0,1,2,3,4,5,6,7,8,9,10))</f>
        <v/>
      </c>
      <c r="V13" s="47">
        <f t="shared" si="22"/>
        <v>0</v>
      </c>
      <c r="W13" s="48">
        <f t="shared" ca="1" si="23"/>
        <v>0</v>
      </c>
      <c r="X13" s="48" t="str">
        <f t="shared" si="12"/>
        <v>-----</v>
      </c>
      <c r="Y13" s="22">
        <f t="shared" ca="1" si="24"/>
        <v>0</v>
      </c>
      <c r="Z13" s="22">
        <f t="shared" ca="1" si="25"/>
        <v>0</v>
      </c>
      <c r="AA13" s="54" t="str">
        <f ca="1">IF(V13=8,CHOOSE(MATCH(W13,INDIRECT(設定!AG59),1),1,2,3,4,5),"-----")</f>
        <v>-----</v>
      </c>
      <c r="AB13" s="79" t="str">
        <f t="shared" si="13"/>
        <v>A010</v>
      </c>
      <c r="AC13" s="100"/>
      <c r="AD13" s="82"/>
      <c r="AE13" s="83"/>
      <c r="AF13" s="83"/>
      <c r="AG13" s="92"/>
      <c r="AH13" s="84"/>
      <c r="AI13" s="84"/>
      <c r="AJ13" s="85"/>
      <c r="AK13" s="85"/>
      <c r="AL13" s="95"/>
      <c r="AM13" s="83"/>
      <c r="AN13" s="86"/>
      <c r="AO13" s="86"/>
      <c r="AP13" s="87"/>
      <c r="AQ13" s="87"/>
      <c r="AR13" s="81" t="str">
        <f t="shared" si="0"/>
        <v>A010</v>
      </c>
      <c r="AS13" s="88"/>
      <c r="AT13" s="89"/>
      <c r="AU13">
        <f t="shared" si="1"/>
        <v>0</v>
      </c>
      <c r="AV13">
        <f t="shared" si="2"/>
        <v>0</v>
      </c>
      <c r="AW13" s="59">
        <f t="shared" si="14"/>
        <v>0</v>
      </c>
      <c r="AX13" s="8" t="str">
        <f t="shared" si="15"/>
        <v>0</v>
      </c>
      <c r="AY13">
        <f t="shared" si="16"/>
        <v>0</v>
      </c>
      <c r="AZ13">
        <f t="shared" si="17"/>
        <v>0</v>
      </c>
      <c r="BA13">
        <f t="shared" si="18"/>
        <v>0</v>
      </c>
      <c r="BB13">
        <f t="shared" si="19"/>
        <v>0</v>
      </c>
      <c r="BC13" s="59">
        <f t="shared" si="20"/>
        <v>0</v>
      </c>
      <c r="BD13" s="59" t="str">
        <f t="shared" si="21"/>
        <v/>
      </c>
    </row>
    <row r="14" spans="1:56" ht="18.600000000000001" customHeight="1" thickTop="1">
      <c r="A14" s="29">
        <v>11</v>
      </c>
      <c r="B14" s="36" t="s">
        <v>147</v>
      </c>
      <c r="C14" s="163"/>
      <c r="D14" s="164"/>
      <c r="E14" s="119">
        <f t="shared" si="3"/>
        <v>11</v>
      </c>
      <c r="F14" s="150" t="str">
        <f t="shared" si="4"/>
        <v/>
      </c>
      <c r="G14" s="128" t="str">
        <f t="shared" si="5"/>
        <v/>
      </c>
      <c r="H14" s="129" t="str">
        <f t="shared" si="6"/>
        <v/>
      </c>
      <c r="I14" s="130" t="str">
        <f t="shared" si="7"/>
        <v/>
      </c>
      <c r="J14" s="131" t="str">
        <f t="shared" si="8"/>
        <v/>
      </c>
      <c r="K14" s="132" t="str">
        <f t="shared" si="9"/>
        <v/>
      </c>
      <c r="L14" s="133" t="str">
        <f t="shared" si="10"/>
        <v/>
      </c>
      <c r="M14" s="134" t="str">
        <f t="shared" si="11"/>
        <v/>
      </c>
      <c r="N14" s="32" t="str">
        <f ca="1">IF(F14="","",CHOOSE(MATCH($F14,IF($D14="男",INDIRECT(設定!Q60),INDIRECT(設定!R60)),1),0,1,2,3,4,5,6,7,8,9,10))</f>
        <v/>
      </c>
      <c r="O14" s="33" t="str">
        <f ca="1">IF(G14="","",CHOOSE(MATCH(G14,IF($D14="男",INDIRECT(設定!S60),INDIRECT(設定!T60)),1),0,1,2,3,4,5,6,7,8,9,10))</f>
        <v/>
      </c>
      <c r="P14" s="33" t="str">
        <f ca="1">IF(H14="","",CHOOSE(MATCH(H14,IF($D14="男",INDIRECT(設定!U60),INDIRECT(設定!V60)),1),0,1,2,3,4,5,6,7,8,9,10))</f>
        <v/>
      </c>
      <c r="Q14" s="33" t="str">
        <f ca="1">IF(I14="","",CHOOSE(MATCH(I14,IF($D14="男",INDIRECT(設定!W60),INDIRECT(設定!X60)),1),0,1,2,3,4,5,6,7,8,9,10))</f>
        <v/>
      </c>
      <c r="R14" s="33" t="str">
        <f ca="1">IF(J14="","",CHOOSE(MATCH(J14,IF($D14="男",INDIRECT(設定!Y60),INDIRECT(設定!Z60)),1),0,1,2,3,4,5,6,7,8,9,10))</f>
        <v/>
      </c>
      <c r="S14" s="33" t="str">
        <f ca="1">IF(K14="","",CHOOSE(MATCH(K14,IF($D14="男",INDIRECT(設定!AA60),INDIRECT(設定!AB60)),1),10,9,8,7,6,5,4,3,2,1,0))</f>
        <v/>
      </c>
      <c r="T14" s="33" t="str">
        <f ca="1">IF(L14="","",CHOOSE(MATCH(L14,IF($D14="男",INDIRECT(設定!AC60),INDIRECT(設定!AD60)),1),0,1,2,3,4,5,6,7,8,9,10))</f>
        <v/>
      </c>
      <c r="U14" s="45" t="str">
        <f ca="1">IF(M14="","",CHOOSE(MATCH(M14,IF($D14="男",INDIRECT(設定!AE60),INDIRECT(設定!AF60)),1),0,1,2,3,4,5,6,7,8,9,10))</f>
        <v/>
      </c>
      <c r="V14" s="32">
        <f t="shared" si="22"/>
        <v>0</v>
      </c>
      <c r="W14" s="33">
        <f t="shared" ca="1" si="23"/>
        <v>0</v>
      </c>
      <c r="X14" s="33" t="str">
        <f t="shared" si="12"/>
        <v>-----</v>
      </c>
      <c r="Y14" s="22">
        <f t="shared" ca="1" si="24"/>
        <v>0</v>
      </c>
      <c r="Z14" s="22">
        <f t="shared" ca="1" si="25"/>
        <v>0</v>
      </c>
      <c r="AA14" s="54" t="str">
        <f ca="1">IF(V14=8,CHOOSE(MATCH(W14,INDIRECT(設定!AG60),1),1,2,3,4,5),"-----")</f>
        <v>-----</v>
      </c>
      <c r="AB14" s="79" t="str">
        <f t="shared" si="13"/>
        <v>A011</v>
      </c>
      <c r="AC14" s="100"/>
      <c r="AD14" s="82"/>
      <c r="AE14" s="83"/>
      <c r="AF14" s="83"/>
      <c r="AG14" s="92"/>
      <c r="AH14" s="84"/>
      <c r="AI14" s="84"/>
      <c r="AJ14" s="85"/>
      <c r="AK14" s="85"/>
      <c r="AL14" s="95"/>
      <c r="AM14" s="83"/>
      <c r="AN14" s="86"/>
      <c r="AO14" s="86"/>
      <c r="AP14" s="87"/>
      <c r="AQ14" s="87"/>
      <c r="AR14" s="81" t="str">
        <f t="shared" si="0"/>
        <v>A011</v>
      </c>
      <c r="AS14" s="88"/>
      <c r="AT14" s="89"/>
      <c r="AU14">
        <f t="shared" si="1"/>
        <v>0</v>
      </c>
      <c r="AV14">
        <f t="shared" si="2"/>
        <v>0</v>
      </c>
      <c r="AW14" s="59">
        <f t="shared" si="14"/>
        <v>0</v>
      </c>
      <c r="AX14" s="8" t="str">
        <f t="shared" si="15"/>
        <v>0</v>
      </c>
      <c r="AY14">
        <f t="shared" si="16"/>
        <v>0</v>
      </c>
      <c r="AZ14">
        <f t="shared" si="17"/>
        <v>0</v>
      </c>
      <c r="BA14">
        <f t="shared" si="18"/>
        <v>0</v>
      </c>
      <c r="BB14">
        <f t="shared" si="19"/>
        <v>0</v>
      </c>
      <c r="BC14" s="59">
        <f t="shared" si="20"/>
        <v>0</v>
      </c>
      <c r="BD14" s="59" t="str">
        <f t="shared" si="21"/>
        <v/>
      </c>
    </row>
    <row r="15" spans="1:56" ht="18.600000000000001" customHeight="1">
      <c r="A15" s="35">
        <v>12</v>
      </c>
      <c r="B15" s="36" t="s">
        <v>148</v>
      </c>
      <c r="C15" s="163"/>
      <c r="D15" s="164"/>
      <c r="E15" s="117">
        <f t="shared" si="3"/>
        <v>11</v>
      </c>
      <c r="F15" s="146" t="str">
        <f t="shared" si="4"/>
        <v/>
      </c>
      <c r="G15" s="120" t="str">
        <f t="shared" si="5"/>
        <v/>
      </c>
      <c r="H15" s="67" t="str">
        <f t="shared" si="6"/>
        <v/>
      </c>
      <c r="I15" s="68" t="str">
        <f t="shared" si="7"/>
        <v/>
      </c>
      <c r="J15" s="121" t="str">
        <f t="shared" si="8"/>
        <v/>
      </c>
      <c r="K15" s="122" t="str">
        <f t="shared" si="9"/>
        <v/>
      </c>
      <c r="L15" s="123" t="str">
        <f t="shared" si="10"/>
        <v/>
      </c>
      <c r="M15" s="135" t="str">
        <f t="shared" si="11"/>
        <v/>
      </c>
      <c r="N15" s="32" t="str">
        <f ca="1">IF(F15="","",CHOOSE(MATCH($F15,IF($D15="男",INDIRECT(設定!Q61),INDIRECT(設定!R61)),1),0,1,2,3,4,5,6,7,8,9,10))</f>
        <v/>
      </c>
      <c r="O15" s="33" t="str">
        <f ca="1">IF(G15="","",CHOOSE(MATCH(G15,IF($D15="男",INDIRECT(設定!S61),INDIRECT(設定!T61)),1),0,1,2,3,4,5,6,7,8,9,10))</f>
        <v/>
      </c>
      <c r="P15" s="33" t="str">
        <f ca="1">IF(H15="","",CHOOSE(MATCH(H15,IF($D15="男",INDIRECT(設定!U61),INDIRECT(設定!V61)),1),0,1,2,3,4,5,6,7,8,9,10))</f>
        <v/>
      </c>
      <c r="Q15" s="33" t="str">
        <f ca="1">IF(I15="","",CHOOSE(MATCH(I15,IF($D15="男",INDIRECT(設定!W61),INDIRECT(設定!X61)),1),0,1,2,3,4,5,6,7,8,9,10))</f>
        <v/>
      </c>
      <c r="R15" s="33" t="str">
        <f ca="1">IF(J15="","",CHOOSE(MATCH(J15,IF($D15="男",INDIRECT(設定!Y61),INDIRECT(設定!Z61)),1),0,1,2,3,4,5,6,7,8,9,10))</f>
        <v/>
      </c>
      <c r="S15" s="33" t="str">
        <f ca="1">IF(K15="","",CHOOSE(MATCH(K15,IF($D15="男",INDIRECT(設定!AA61),INDIRECT(設定!AB61)),1),10,9,8,7,6,5,4,3,2,1,0))</f>
        <v/>
      </c>
      <c r="T15" s="33" t="str">
        <f ca="1">IF(L15="","",CHOOSE(MATCH(L15,IF($D15="男",INDIRECT(設定!AC61),INDIRECT(設定!AD61)),1),0,1,2,3,4,5,6,7,8,9,10))</f>
        <v/>
      </c>
      <c r="U15" s="38" t="str">
        <f ca="1">IF(M15="","",CHOOSE(MATCH(M15,IF($D15="男",INDIRECT(設定!AE61),INDIRECT(設定!AF61)),1),0,1,2,3,4,5,6,7,8,9,10))</f>
        <v/>
      </c>
      <c r="V15" s="32">
        <f t="shared" si="22"/>
        <v>0</v>
      </c>
      <c r="W15" s="33">
        <f t="shared" ca="1" si="23"/>
        <v>0</v>
      </c>
      <c r="X15" s="33" t="str">
        <f t="shared" si="12"/>
        <v>-----</v>
      </c>
      <c r="Y15" s="22">
        <f t="shared" ca="1" si="24"/>
        <v>0</v>
      </c>
      <c r="Z15" s="22">
        <f t="shared" ca="1" si="25"/>
        <v>0</v>
      </c>
      <c r="AA15" s="54" t="str">
        <f ca="1">IF(V15=8,CHOOSE(MATCH(W15,INDIRECT(設定!AG61),1),1,2,3,4,5),"-----")</f>
        <v>-----</v>
      </c>
      <c r="AB15" s="79" t="str">
        <f t="shared" si="13"/>
        <v>A012</v>
      </c>
      <c r="AC15" s="100"/>
      <c r="AD15" s="82"/>
      <c r="AE15" s="83"/>
      <c r="AF15" s="83"/>
      <c r="AG15" s="92"/>
      <c r="AH15" s="84"/>
      <c r="AI15" s="84"/>
      <c r="AJ15" s="85"/>
      <c r="AK15" s="85"/>
      <c r="AL15" s="95"/>
      <c r="AM15" s="83"/>
      <c r="AN15" s="86"/>
      <c r="AO15" s="86"/>
      <c r="AP15" s="87"/>
      <c r="AQ15" s="87"/>
      <c r="AR15" s="81" t="str">
        <f t="shared" si="0"/>
        <v>A012</v>
      </c>
      <c r="AS15" s="88"/>
      <c r="AT15" s="89"/>
      <c r="AU15">
        <f t="shared" si="1"/>
        <v>0</v>
      </c>
      <c r="AV15">
        <f t="shared" si="2"/>
        <v>0</v>
      </c>
      <c r="AW15" s="59">
        <f t="shared" si="14"/>
        <v>0</v>
      </c>
      <c r="AX15" s="8" t="str">
        <f t="shared" si="15"/>
        <v>0</v>
      </c>
      <c r="AY15">
        <f t="shared" si="16"/>
        <v>0</v>
      </c>
      <c r="AZ15">
        <f t="shared" si="17"/>
        <v>0</v>
      </c>
      <c r="BA15">
        <f t="shared" si="18"/>
        <v>0</v>
      </c>
      <c r="BB15">
        <f t="shared" si="19"/>
        <v>0</v>
      </c>
      <c r="BC15" s="59">
        <f t="shared" si="20"/>
        <v>0</v>
      </c>
      <c r="BD15" s="59" t="str">
        <f t="shared" si="21"/>
        <v/>
      </c>
    </row>
    <row r="16" spans="1:56" ht="18.600000000000001" customHeight="1">
      <c r="A16" s="35">
        <v>13</v>
      </c>
      <c r="B16" s="36" t="s">
        <v>149</v>
      </c>
      <c r="C16" s="163"/>
      <c r="D16" s="164"/>
      <c r="E16" s="117">
        <f t="shared" si="3"/>
        <v>11</v>
      </c>
      <c r="F16" s="146" t="str">
        <f t="shared" si="4"/>
        <v/>
      </c>
      <c r="G16" s="120" t="str">
        <f t="shared" si="5"/>
        <v/>
      </c>
      <c r="H16" s="67" t="str">
        <f t="shared" si="6"/>
        <v/>
      </c>
      <c r="I16" s="68" t="str">
        <f t="shared" si="7"/>
        <v/>
      </c>
      <c r="J16" s="121" t="str">
        <f t="shared" si="8"/>
        <v/>
      </c>
      <c r="K16" s="122" t="str">
        <f t="shared" si="9"/>
        <v/>
      </c>
      <c r="L16" s="123" t="str">
        <f t="shared" si="10"/>
        <v/>
      </c>
      <c r="M16" s="135" t="str">
        <f t="shared" si="11"/>
        <v/>
      </c>
      <c r="N16" s="32" t="str">
        <f ca="1">IF(F16="","",CHOOSE(MATCH($F16,IF($D16="男",INDIRECT(設定!Q62),INDIRECT(設定!R62)),1),0,1,2,3,4,5,6,7,8,9,10))</f>
        <v/>
      </c>
      <c r="O16" s="33" t="str">
        <f ca="1">IF(G16="","",CHOOSE(MATCH(G16,IF($D16="男",INDIRECT(設定!S62),INDIRECT(設定!T62)),1),0,1,2,3,4,5,6,7,8,9,10))</f>
        <v/>
      </c>
      <c r="P16" s="33" t="str">
        <f ca="1">IF(H16="","",CHOOSE(MATCH(H16,IF($D16="男",INDIRECT(設定!U62),INDIRECT(設定!V62)),1),0,1,2,3,4,5,6,7,8,9,10))</f>
        <v/>
      </c>
      <c r="Q16" s="33" t="str">
        <f ca="1">IF(I16="","",CHOOSE(MATCH(I16,IF($D16="男",INDIRECT(設定!W62),INDIRECT(設定!X62)),1),0,1,2,3,4,5,6,7,8,9,10))</f>
        <v/>
      </c>
      <c r="R16" s="33" t="str">
        <f ca="1">IF(J16="","",CHOOSE(MATCH(J16,IF($D16="男",INDIRECT(設定!Y62),INDIRECT(設定!Z62)),1),0,1,2,3,4,5,6,7,8,9,10))</f>
        <v/>
      </c>
      <c r="S16" s="33" t="str">
        <f ca="1">IF(K16="","",CHOOSE(MATCH(K16,IF($D16="男",INDIRECT(設定!AA62),INDIRECT(設定!AB62)),1),10,9,8,7,6,5,4,3,2,1,0))</f>
        <v/>
      </c>
      <c r="T16" s="33" t="str">
        <f ca="1">IF(L16="","",CHOOSE(MATCH(L16,IF($D16="男",INDIRECT(設定!AC62),INDIRECT(設定!AD62)),1),0,1,2,3,4,5,6,7,8,9,10))</f>
        <v/>
      </c>
      <c r="U16" s="38" t="str">
        <f ca="1">IF(M16="","",CHOOSE(MATCH(M16,IF($D16="男",INDIRECT(設定!AE62),INDIRECT(設定!AF62)),1),0,1,2,3,4,5,6,7,8,9,10))</f>
        <v/>
      </c>
      <c r="V16" s="32">
        <f t="shared" si="22"/>
        <v>0</v>
      </c>
      <c r="W16" s="33">
        <f t="shared" ca="1" si="23"/>
        <v>0</v>
      </c>
      <c r="X16" s="33" t="str">
        <f t="shared" si="12"/>
        <v>-----</v>
      </c>
      <c r="Y16" s="22">
        <f t="shared" ca="1" si="24"/>
        <v>0</v>
      </c>
      <c r="Z16" s="22">
        <f t="shared" ca="1" si="25"/>
        <v>0</v>
      </c>
      <c r="AA16" s="54" t="str">
        <f ca="1">IF(V16=8,CHOOSE(MATCH(W16,INDIRECT(設定!AG62),1),1,2,3,4,5),"-----")</f>
        <v>-----</v>
      </c>
      <c r="AB16" s="79" t="str">
        <f t="shared" si="13"/>
        <v>A013</v>
      </c>
      <c r="AC16" s="100"/>
      <c r="AD16" s="82"/>
      <c r="AE16" s="83"/>
      <c r="AF16" s="83"/>
      <c r="AG16" s="92"/>
      <c r="AH16" s="84"/>
      <c r="AI16" s="84"/>
      <c r="AJ16" s="85"/>
      <c r="AK16" s="85"/>
      <c r="AL16" s="95"/>
      <c r="AM16" s="83"/>
      <c r="AN16" s="86"/>
      <c r="AO16" s="86"/>
      <c r="AP16" s="87"/>
      <c r="AQ16" s="87"/>
      <c r="AR16" s="81" t="str">
        <f t="shared" si="0"/>
        <v>A013</v>
      </c>
      <c r="AS16" s="88"/>
      <c r="AT16" s="89"/>
      <c r="AU16">
        <f t="shared" si="1"/>
        <v>0</v>
      </c>
      <c r="AV16">
        <f t="shared" si="2"/>
        <v>0</v>
      </c>
      <c r="AW16" s="59">
        <f t="shared" si="14"/>
        <v>0</v>
      </c>
      <c r="AX16" s="8" t="str">
        <f t="shared" si="15"/>
        <v>0</v>
      </c>
      <c r="AY16">
        <f t="shared" si="16"/>
        <v>0</v>
      </c>
      <c r="AZ16">
        <f t="shared" si="17"/>
        <v>0</v>
      </c>
      <c r="BA16">
        <f t="shared" si="18"/>
        <v>0</v>
      </c>
      <c r="BB16">
        <f t="shared" si="19"/>
        <v>0</v>
      </c>
      <c r="BC16" s="59">
        <f t="shared" si="20"/>
        <v>0</v>
      </c>
      <c r="BD16" s="59" t="str">
        <f t="shared" si="21"/>
        <v/>
      </c>
    </row>
    <row r="17" spans="1:56" ht="18.600000000000001" customHeight="1">
      <c r="A17" s="35">
        <v>14</v>
      </c>
      <c r="B17" s="36" t="s">
        <v>150</v>
      </c>
      <c r="C17" s="163"/>
      <c r="D17" s="164"/>
      <c r="E17" s="117">
        <f t="shared" si="3"/>
        <v>11</v>
      </c>
      <c r="F17" s="146" t="str">
        <f t="shared" si="4"/>
        <v/>
      </c>
      <c r="G17" s="120" t="str">
        <f t="shared" si="5"/>
        <v/>
      </c>
      <c r="H17" s="67" t="str">
        <f t="shared" si="6"/>
        <v/>
      </c>
      <c r="I17" s="68" t="str">
        <f t="shared" si="7"/>
        <v/>
      </c>
      <c r="J17" s="121" t="str">
        <f t="shared" si="8"/>
        <v/>
      </c>
      <c r="K17" s="122" t="str">
        <f t="shared" si="9"/>
        <v/>
      </c>
      <c r="L17" s="123" t="str">
        <f t="shared" si="10"/>
        <v/>
      </c>
      <c r="M17" s="135" t="str">
        <f t="shared" si="11"/>
        <v/>
      </c>
      <c r="N17" s="32" t="str">
        <f ca="1">IF(F17="","",CHOOSE(MATCH($F17,IF($D17="男",INDIRECT(設定!Q63),INDIRECT(設定!R63)),1),0,1,2,3,4,5,6,7,8,9,10))</f>
        <v/>
      </c>
      <c r="O17" s="33" t="str">
        <f ca="1">IF(G17="","",CHOOSE(MATCH(G17,IF($D17="男",INDIRECT(設定!S63),INDIRECT(設定!T63)),1),0,1,2,3,4,5,6,7,8,9,10))</f>
        <v/>
      </c>
      <c r="P17" s="33" t="str">
        <f ca="1">IF(H17="","",CHOOSE(MATCH(H17,IF($D17="男",INDIRECT(設定!U63),INDIRECT(設定!V63)),1),0,1,2,3,4,5,6,7,8,9,10))</f>
        <v/>
      </c>
      <c r="Q17" s="33" t="str">
        <f ca="1">IF(I17="","",CHOOSE(MATCH(I17,IF($D17="男",INDIRECT(設定!W63),INDIRECT(設定!X63)),1),0,1,2,3,4,5,6,7,8,9,10))</f>
        <v/>
      </c>
      <c r="R17" s="33" t="str">
        <f ca="1">IF(J17="","",CHOOSE(MATCH(J17,IF($D17="男",INDIRECT(設定!Y63),INDIRECT(設定!Z63)),1),0,1,2,3,4,5,6,7,8,9,10))</f>
        <v/>
      </c>
      <c r="S17" s="33" t="str">
        <f ca="1">IF(K17="","",CHOOSE(MATCH(K17,IF($D17="男",INDIRECT(設定!AA63),INDIRECT(設定!AB63)),1),10,9,8,7,6,5,4,3,2,1,0))</f>
        <v/>
      </c>
      <c r="T17" s="33" t="str">
        <f ca="1">IF(L17="","",CHOOSE(MATCH(L17,IF($D17="男",INDIRECT(設定!AC63),INDIRECT(設定!AD63)),1),0,1,2,3,4,5,6,7,8,9,10))</f>
        <v/>
      </c>
      <c r="U17" s="38" t="str">
        <f ca="1">IF(M17="","",CHOOSE(MATCH(M17,IF($D17="男",INDIRECT(設定!AE63),INDIRECT(設定!AF63)),1),0,1,2,3,4,5,6,7,8,9,10))</f>
        <v/>
      </c>
      <c r="V17" s="32">
        <f t="shared" si="22"/>
        <v>0</v>
      </c>
      <c r="W17" s="33">
        <f t="shared" ca="1" si="23"/>
        <v>0</v>
      </c>
      <c r="X17" s="33" t="str">
        <f t="shared" si="12"/>
        <v>-----</v>
      </c>
      <c r="Y17" s="22">
        <f t="shared" ca="1" si="24"/>
        <v>0</v>
      </c>
      <c r="Z17" s="22">
        <f t="shared" ca="1" si="25"/>
        <v>0</v>
      </c>
      <c r="AA17" s="54" t="str">
        <f ca="1">IF(V17=8,CHOOSE(MATCH(W17,INDIRECT(設定!AG63),1),1,2,3,4,5),"-----")</f>
        <v>-----</v>
      </c>
      <c r="AB17" s="79" t="str">
        <f t="shared" si="13"/>
        <v>A014</v>
      </c>
      <c r="AC17" s="100"/>
      <c r="AD17" s="82"/>
      <c r="AE17" s="83"/>
      <c r="AF17" s="83"/>
      <c r="AG17" s="92"/>
      <c r="AH17" s="84"/>
      <c r="AI17" s="84"/>
      <c r="AJ17" s="85"/>
      <c r="AK17" s="85"/>
      <c r="AL17" s="95"/>
      <c r="AM17" s="83"/>
      <c r="AN17" s="86"/>
      <c r="AO17" s="86"/>
      <c r="AP17" s="87"/>
      <c r="AQ17" s="87"/>
      <c r="AR17" s="81" t="str">
        <f t="shared" si="0"/>
        <v>A014</v>
      </c>
      <c r="AS17" s="88"/>
      <c r="AT17" s="89"/>
      <c r="AU17">
        <f t="shared" si="1"/>
        <v>0</v>
      </c>
      <c r="AV17">
        <f t="shared" si="2"/>
        <v>0</v>
      </c>
      <c r="AW17" s="59">
        <f t="shared" si="14"/>
        <v>0</v>
      </c>
      <c r="AX17" s="8" t="str">
        <f t="shared" si="15"/>
        <v>0</v>
      </c>
      <c r="AY17">
        <f t="shared" si="16"/>
        <v>0</v>
      </c>
      <c r="AZ17">
        <f t="shared" si="17"/>
        <v>0</v>
      </c>
      <c r="BA17">
        <f t="shared" si="18"/>
        <v>0</v>
      </c>
      <c r="BB17">
        <f t="shared" si="19"/>
        <v>0</v>
      </c>
      <c r="BC17" s="59">
        <f t="shared" si="20"/>
        <v>0</v>
      </c>
      <c r="BD17" s="59" t="str">
        <f t="shared" si="21"/>
        <v/>
      </c>
    </row>
    <row r="18" spans="1:56" ht="18.600000000000001" customHeight="1" thickBot="1">
      <c r="A18" s="43">
        <v>15</v>
      </c>
      <c r="B18" s="36" t="s">
        <v>151</v>
      </c>
      <c r="C18" s="163"/>
      <c r="D18" s="164"/>
      <c r="E18" s="118">
        <f t="shared" si="3"/>
        <v>11</v>
      </c>
      <c r="F18" s="148" t="str">
        <f t="shared" si="4"/>
        <v/>
      </c>
      <c r="G18" s="136" t="str">
        <f t="shared" si="5"/>
        <v/>
      </c>
      <c r="H18" s="70" t="str">
        <f t="shared" si="6"/>
        <v/>
      </c>
      <c r="I18" s="71" t="str">
        <f t="shared" si="7"/>
        <v/>
      </c>
      <c r="J18" s="137" t="str">
        <f t="shared" si="8"/>
        <v/>
      </c>
      <c r="K18" s="138" t="str">
        <f t="shared" si="9"/>
        <v/>
      </c>
      <c r="L18" s="72" t="str">
        <f t="shared" si="10"/>
        <v/>
      </c>
      <c r="M18" s="73" t="str">
        <f t="shared" si="11"/>
        <v/>
      </c>
      <c r="N18" s="47" t="str">
        <f ca="1">IF(F18="","",CHOOSE(MATCH($F18,IF($D18="男",INDIRECT(設定!Q64),INDIRECT(設定!R64)),1),0,1,2,3,4,5,6,7,8,9,10))</f>
        <v/>
      </c>
      <c r="O18" s="48" t="str">
        <f ca="1">IF(G18="","",CHOOSE(MATCH(G18,IF($D18="男",INDIRECT(設定!S64),INDIRECT(設定!T64)),1),0,1,2,3,4,5,6,7,8,9,10))</f>
        <v/>
      </c>
      <c r="P18" s="48" t="str">
        <f ca="1">IF(H18="","",CHOOSE(MATCH(H18,IF($D18="男",INDIRECT(設定!U64),INDIRECT(設定!V64)),1),0,1,2,3,4,5,6,7,8,9,10))</f>
        <v/>
      </c>
      <c r="Q18" s="48" t="str">
        <f ca="1">IF(I18="","",CHOOSE(MATCH(I18,IF($D18="男",INDIRECT(設定!W64),INDIRECT(設定!X64)),1),0,1,2,3,4,5,6,7,8,9,10))</f>
        <v/>
      </c>
      <c r="R18" s="48" t="str">
        <f ca="1">IF(J18="","",CHOOSE(MATCH(J18,IF($D18="男",INDIRECT(設定!Y64),INDIRECT(設定!Z64)),1),0,1,2,3,4,5,6,7,8,9,10))</f>
        <v/>
      </c>
      <c r="S18" s="48" t="str">
        <f ca="1">IF(K18="","",CHOOSE(MATCH(K18,IF($D18="男",INDIRECT(設定!AA64),INDIRECT(設定!AB64)),1),10,9,8,7,6,5,4,3,2,1,0))</f>
        <v/>
      </c>
      <c r="T18" s="48" t="str">
        <f ca="1">IF(L18="","",CHOOSE(MATCH(L18,IF($D18="男",INDIRECT(設定!AC64),INDIRECT(設定!AD64)),1),0,1,2,3,4,5,6,7,8,9,10))</f>
        <v/>
      </c>
      <c r="U18" s="49" t="str">
        <f ca="1">IF(M18="","",CHOOSE(MATCH(M18,IF($D18="男",INDIRECT(設定!AE64),INDIRECT(設定!AF64)),1),0,1,2,3,4,5,6,7,8,9,10))</f>
        <v/>
      </c>
      <c r="V18" s="47">
        <f t="shared" si="22"/>
        <v>0</v>
      </c>
      <c r="W18" s="48">
        <f t="shared" ca="1" si="23"/>
        <v>0</v>
      </c>
      <c r="X18" s="48" t="str">
        <f t="shared" si="12"/>
        <v>-----</v>
      </c>
      <c r="Y18" s="22">
        <f t="shared" ca="1" si="24"/>
        <v>0</v>
      </c>
      <c r="Z18" s="22">
        <f t="shared" ca="1" si="25"/>
        <v>0</v>
      </c>
      <c r="AA18" s="54" t="str">
        <f ca="1">IF(V18=8,CHOOSE(MATCH(W18,INDIRECT(設定!AG64),1),1,2,3,4,5),"-----")</f>
        <v>-----</v>
      </c>
      <c r="AB18" s="79" t="str">
        <f t="shared" si="13"/>
        <v>A015</v>
      </c>
      <c r="AC18" s="100"/>
      <c r="AD18" s="82"/>
      <c r="AE18" s="83"/>
      <c r="AF18" s="83"/>
      <c r="AG18" s="92"/>
      <c r="AH18" s="84"/>
      <c r="AI18" s="84"/>
      <c r="AJ18" s="85"/>
      <c r="AK18" s="85"/>
      <c r="AL18" s="95"/>
      <c r="AM18" s="83"/>
      <c r="AN18" s="86"/>
      <c r="AO18" s="86"/>
      <c r="AP18" s="87"/>
      <c r="AQ18" s="87"/>
      <c r="AR18" s="81" t="str">
        <f t="shared" si="0"/>
        <v>A015</v>
      </c>
      <c r="AS18" s="88"/>
      <c r="AT18" s="89"/>
      <c r="AU18">
        <f t="shared" si="1"/>
        <v>0</v>
      </c>
      <c r="AV18">
        <f t="shared" si="2"/>
        <v>0</v>
      </c>
      <c r="AW18" s="59">
        <f t="shared" si="14"/>
        <v>0</v>
      </c>
      <c r="AX18" s="8" t="str">
        <f t="shared" si="15"/>
        <v>0</v>
      </c>
      <c r="AY18">
        <f t="shared" si="16"/>
        <v>0</v>
      </c>
      <c r="AZ18">
        <f t="shared" si="17"/>
        <v>0</v>
      </c>
      <c r="BA18">
        <f t="shared" si="18"/>
        <v>0</v>
      </c>
      <c r="BB18">
        <f t="shared" si="19"/>
        <v>0</v>
      </c>
      <c r="BC18" s="59">
        <f t="shared" si="20"/>
        <v>0</v>
      </c>
      <c r="BD18" s="59" t="str">
        <f t="shared" si="21"/>
        <v/>
      </c>
    </row>
    <row r="19" spans="1:56" ht="18.600000000000001" customHeight="1" thickTop="1">
      <c r="A19" s="29">
        <v>16</v>
      </c>
      <c r="B19" s="36" t="s">
        <v>152</v>
      </c>
      <c r="C19" s="163"/>
      <c r="D19" s="164"/>
      <c r="E19" s="119">
        <f t="shared" si="3"/>
        <v>11</v>
      </c>
      <c r="F19" s="147" t="str">
        <f t="shared" si="4"/>
        <v/>
      </c>
      <c r="G19" s="99" t="str">
        <f t="shared" si="5"/>
        <v/>
      </c>
      <c r="H19" s="69" t="str">
        <f t="shared" si="6"/>
        <v/>
      </c>
      <c r="I19" s="62" t="str">
        <f t="shared" si="7"/>
        <v/>
      </c>
      <c r="J19" s="97" t="str">
        <f t="shared" si="8"/>
        <v/>
      </c>
      <c r="K19" s="98" t="str">
        <f t="shared" si="9"/>
        <v/>
      </c>
      <c r="L19" s="63" t="str">
        <f t="shared" si="10"/>
        <v/>
      </c>
      <c r="M19" s="65" t="str">
        <f t="shared" si="11"/>
        <v/>
      </c>
      <c r="N19" s="32" t="str">
        <f ca="1">IF(F19="","",CHOOSE(MATCH($F19,IF($D19="男",INDIRECT(設定!Q65),INDIRECT(設定!R65)),1),0,1,2,3,4,5,6,7,8,9,10))</f>
        <v/>
      </c>
      <c r="O19" s="33" t="str">
        <f ca="1">IF(G19="","",CHOOSE(MATCH(G19,IF($D19="男",INDIRECT(設定!S65),INDIRECT(設定!T65)),1),0,1,2,3,4,5,6,7,8,9,10))</f>
        <v/>
      </c>
      <c r="P19" s="33" t="str">
        <f ca="1">IF(H19="","",CHOOSE(MATCH(H19,IF($D19="男",INDIRECT(設定!U65),INDIRECT(設定!V65)),1),0,1,2,3,4,5,6,7,8,9,10))</f>
        <v/>
      </c>
      <c r="Q19" s="33" t="str">
        <f ca="1">IF(I19="","",CHOOSE(MATCH(I19,IF($D19="男",INDIRECT(設定!W65),INDIRECT(設定!X65)),1),0,1,2,3,4,5,6,7,8,9,10))</f>
        <v/>
      </c>
      <c r="R19" s="33" t="str">
        <f ca="1">IF(J19="","",CHOOSE(MATCH(J19,IF($D19="男",INDIRECT(設定!Y65),INDIRECT(設定!Z65)),1),0,1,2,3,4,5,6,7,8,9,10))</f>
        <v/>
      </c>
      <c r="S19" s="33" t="str">
        <f ca="1">IF(K19="","",CHOOSE(MATCH(K19,IF($D19="男",INDIRECT(設定!AA65),INDIRECT(設定!AB65)),1),10,9,8,7,6,5,4,3,2,1,0))</f>
        <v/>
      </c>
      <c r="T19" s="33" t="str">
        <f ca="1">IF(L19="","",CHOOSE(MATCH(L19,IF($D19="男",INDIRECT(設定!AC65),INDIRECT(設定!AD65)),1),0,1,2,3,4,5,6,7,8,9,10))</f>
        <v/>
      </c>
      <c r="U19" s="45" t="str">
        <f ca="1">IF(M19="","",CHOOSE(MATCH(M19,IF($D19="男",INDIRECT(設定!AE65),INDIRECT(設定!AF65)),1),0,1,2,3,4,5,6,7,8,9,10))</f>
        <v/>
      </c>
      <c r="V19" s="32">
        <f t="shared" si="22"/>
        <v>0</v>
      </c>
      <c r="W19" s="33">
        <f t="shared" ca="1" si="23"/>
        <v>0</v>
      </c>
      <c r="X19" s="33" t="str">
        <f t="shared" si="12"/>
        <v>-----</v>
      </c>
      <c r="Y19" s="22">
        <f t="shared" ca="1" si="24"/>
        <v>0</v>
      </c>
      <c r="Z19" s="22">
        <f t="shared" ca="1" si="25"/>
        <v>0</v>
      </c>
      <c r="AA19" s="54" t="str">
        <f ca="1">IF(V19=8,CHOOSE(MATCH(W19,INDIRECT(設定!AG65),1),1,2,3,4,5),"-----")</f>
        <v>-----</v>
      </c>
      <c r="AB19" s="79" t="str">
        <f t="shared" si="13"/>
        <v>A016</v>
      </c>
      <c r="AC19" s="100"/>
      <c r="AD19" s="82"/>
      <c r="AE19" s="83"/>
      <c r="AF19" s="83"/>
      <c r="AG19" s="92"/>
      <c r="AH19" s="84"/>
      <c r="AI19" s="84"/>
      <c r="AJ19" s="85"/>
      <c r="AK19" s="85"/>
      <c r="AL19" s="95"/>
      <c r="AM19" s="83"/>
      <c r="AN19" s="86"/>
      <c r="AO19" s="86"/>
      <c r="AP19" s="87"/>
      <c r="AQ19" s="87"/>
      <c r="AR19" s="81" t="str">
        <f t="shared" si="0"/>
        <v>A016</v>
      </c>
      <c r="AS19" s="88"/>
      <c r="AT19" s="89"/>
      <c r="AU19">
        <f t="shared" si="1"/>
        <v>0</v>
      </c>
      <c r="AV19">
        <f t="shared" si="2"/>
        <v>0</v>
      </c>
      <c r="AW19" s="59">
        <f t="shared" si="14"/>
        <v>0</v>
      </c>
      <c r="AX19" s="8" t="str">
        <f t="shared" si="15"/>
        <v>0</v>
      </c>
      <c r="AY19">
        <f t="shared" si="16"/>
        <v>0</v>
      </c>
      <c r="AZ19">
        <f t="shared" si="17"/>
        <v>0</v>
      </c>
      <c r="BA19">
        <f t="shared" si="18"/>
        <v>0</v>
      </c>
      <c r="BB19">
        <f t="shared" si="19"/>
        <v>0</v>
      </c>
      <c r="BC19" s="59">
        <f t="shared" si="20"/>
        <v>0</v>
      </c>
      <c r="BD19" s="59" t="str">
        <f t="shared" si="21"/>
        <v/>
      </c>
    </row>
    <row r="20" spans="1:56" ht="18.600000000000001" customHeight="1">
      <c r="A20" s="35">
        <v>17</v>
      </c>
      <c r="B20" s="36" t="s">
        <v>153</v>
      </c>
      <c r="C20" s="163"/>
      <c r="D20" s="164"/>
      <c r="E20" s="117">
        <f t="shared" si="3"/>
        <v>11</v>
      </c>
      <c r="F20" s="146" t="str">
        <f t="shared" si="4"/>
        <v/>
      </c>
      <c r="G20" s="120" t="str">
        <f t="shared" si="5"/>
        <v/>
      </c>
      <c r="H20" s="67" t="str">
        <f t="shared" si="6"/>
        <v/>
      </c>
      <c r="I20" s="68" t="str">
        <f t="shared" si="7"/>
        <v/>
      </c>
      <c r="J20" s="121" t="str">
        <f t="shared" si="8"/>
        <v/>
      </c>
      <c r="K20" s="122" t="str">
        <f t="shared" si="9"/>
        <v/>
      </c>
      <c r="L20" s="123" t="str">
        <f t="shared" si="10"/>
        <v/>
      </c>
      <c r="M20" s="135" t="str">
        <f t="shared" si="11"/>
        <v/>
      </c>
      <c r="N20" s="32" t="str">
        <f ca="1">IF(F20="","",CHOOSE(MATCH($F20,IF($D20="男",INDIRECT(設定!Q66),INDIRECT(設定!R66)),1),0,1,2,3,4,5,6,7,8,9,10))</f>
        <v/>
      </c>
      <c r="O20" s="33" t="str">
        <f ca="1">IF(G20="","",CHOOSE(MATCH(G20,IF($D20="男",INDIRECT(設定!S66),INDIRECT(設定!T66)),1),0,1,2,3,4,5,6,7,8,9,10))</f>
        <v/>
      </c>
      <c r="P20" s="33" t="str">
        <f ca="1">IF(H20="","",CHOOSE(MATCH(H20,IF($D20="男",INDIRECT(設定!U66),INDIRECT(設定!V66)),1),0,1,2,3,4,5,6,7,8,9,10))</f>
        <v/>
      </c>
      <c r="Q20" s="33" t="str">
        <f ca="1">IF(I20="","",CHOOSE(MATCH(I20,IF($D20="男",INDIRECT(設定!W66),INDIRECT(設定!X66)),1),0,1,2,3,4,5,6,7,8,9,10))</f>
        <v/>
      </c>
      <c r="R20" s="33" t="str">
        <f ca="1">IF(J20="","",CHOOSE(MATCH(J20,IF($D20="男",INDIRECT(設定!Y66),INDIRECT(設定!Z66)),1),0,1,2,3,4,5,6,7,8,9,10))</f>
        <v/>
      </c>
      <c r="S20" s="33" t="str">
        <f ca="1">IF(K20="","",CHOOSE(MATCH(K20,IF($D20="男",INDIRECT(設定!AA66),INDIRECT(設定!AB66)),1),10,9,8,7,6,5,4,3,2,1,0))</f>
        <v/>
      </c>
      <c r="T20" s="33" t="str">
        <f ca="1">IF(L20="","",CHOOSE(MATCH(L20,IF($D20="男",INDIRECT(設定!AC66),INDIRECT(設定!AD66)),1),0,1,2,3,4,5,6,7,8,9,10))</f>
        <v/>
      </c>
      <c r="U20" s="38" t="str">
        <f ca="1">IF(M20="","",CHOOSE(MATCH(M20,IF($D20="男",INDIRECT(設定!AE66),INDIRECT(設定!AF66)),1),0,1,2,3,4,5,6,7,8,9,10))</f>
        <v/>
      </c>
      <c r="V20" s="32">
        <f t="shared" si="22"/>
        <v>0</v>
      </c>
      <c r="W20" s="33">
        <f t="shared" ca="1" si="23"/>
        <v>0</v>
      </c>
      <c r="X20" s="33" t="str">
        <f t="shared" si="12"/>
        <v>-----</v>
      </c>
      <c r="Y20" s="22">
        <f t="shared" ca="1" si="24"/>
        <v>0</v>
      </c>
      <c r="Z20" s="22">
        <f t="shared" ca="1" si="25"/>
        <v>0</v>
      </c>
      <c r="AA20" s="54" t="str">
        <f ca="1">IF(V20=8,CHOOSE(MATCH(W20,INDIRECT(設定!AG66),1),1,2,3,4,5),"-----")</f>
        <v>-----</v>
      </c>
      <c r="AB20" s="79" t="str">
        <f t="shared" si="13"/>
        <v>A017</v>
      </c>
      <c r="AC20" s="100"/>
      <c r="AD20" s="82"/>
      <c r="AE20" s="83"/>
      <c r="AF20" s="83"/>
      <c r="AG20" s="92"/>
      <c r="AH20" s="84"/>
      <c r="AI20" s="84"/>
      <c r="AJ20" s="85"/>
      <c r="AK20" s="85"/>
      <c r="AL20" s="95"/>
      <c r="AM20" s="83"/>
      <c r="AN20" s="86"/>
      <c r="AO20" s="86"/>
      <c r="AP20" s="87"/>
      <c r="AQ20" s="87"/>
      <c r="AR20" s="81" t="str">
        <f t="shared" si="0"/>
        <v>A017</v>
      </c>
      <c r="AS20" s="88"/>
      <c r="AT20" s="89"/>
      <c r="AU20">
        <f t="shared" si="1"/>
        <v>0</v>
      </c>
      <c r="AV20">
        <f t="shared" si="2"/>
        <v>0</v>
      </c>
      <c r="AW20" s="59">
        <f t="shared" si="14"/>
        <v>0</v>
      </c>
      <c r="AX20" s="8" t="str">
        <f t="shared" si="15"/>
        <v>0</v>
      </c>
      <c r="AY20">
        <f t="shared" si="16"/>
        <v>0</v>
      </c>
      <c r="AZ20">
        <f t="shared" si="17"/>
        <v>0</v>
      </c>
      <c r="BA20">
        <f t="shared" si="18"/>
        <v>0</v>
      </c>
      <c r="BB20">
        <f t="shared" si="19"/>
        <v>0</v>
      </c>
      <c r="BC20" s="59">
        <f t="shared" si="20"/>
        <v>0</v>
      </c>
      <c r="BD20" s="59" t="str">
        <f t="shared" si="21"/>
        <v/>
      </c>
    </row>
    <row r="21" spans="1:56" ht="18.600000000000001" customHeight="1">
      <c r="A21" s="35">
        <v>18</v>
      </c>
      <c r="B21" s="36" t="s">
        <v>154</v>
      </c>
      <c r="C21" s="163"/>
      <c r="D21" s="164"/>
      <c r="E21" s="117">
        <f t="shared" si="3"/>
        <v>11</v>
      </c>
      <c r="F21" s="146" t="str">
        <f t="shared" si="4"/>
        <v/>
      </c>
      <c r="G21" s="120" t="str">
        <f t="shared" si="5"/>
        <v/>
      </c>
      <c r="H21" s="67" t="str">
        <f t="shared" si="6"/>
        <v/>
      </c>
      <c r="I21" s="68" t="str">
        <f t="shared" si="7"/>
        <v/>
      </c>
      <c r="J21" s="121" t="str">
        <f t="shared" si="8"/>
        <v/>
      </c>
      <c r="K21" s="122" t="str">
        <f t="shared" si="9"/>
        <v/>
      </c>
      <c r="L21" s="123" t="str">
        <f t="shared" si="10"/>
        <v/>
      </c>
      <c r="M21" s="135" t="str">
        <f t="shared" si="11"/>
        <v/>
      </c>
      <c r="N21" s="32" t="str">
        <f ca="1">IF(F21="","",CHOOSE(MATCH($F21,IF($D21="男",INDIRECT(設定!Q67),INDIRECT(設定!R67)),1),0,1,2,3,4,5,6,7,8,9,10))</f>
        <v/>
      </c>
      <c r="O21" s="33" t="str">
        <f ca="1">IF(G21="","",CHOOSE(MATCH(G21,IF($D21="男",INDIRECT(設定!S67),INDIRECT(設定!T67)),1),0,1,2,3,4,5,6,7,8,9,10))</f>
        <v/>
      </c>
      <c r="P21" s="33" t="str">
        <f ca="1">IF(H21="","",CHOOSE(MATCH(H21,IF($D21="男",INDIRECT(設定!U67),INDIRECT(設定!V67)),1),0,1,2,3,4,5,6,7,8,9,10))</f>
        <v/>
      </c>
      <c r="Q21" s="33" t="str">
        <f ca="1">IF(I21="","",CHOOSE(MATCH(I21,IF($D21="男",INDIRECT(設定!W67),INDIRECT(設定!X67)),1),0,1,2,3,4,5,6,7,8,9,10))</f>
        <v/>
      </c>
      <c r="R21" s="33" t="str">
        <f ca="1">IF(J21="","",CHOOSE(MATCH(J21,IF($D21="男",INDIRECT(設定!Y67),INDIRECT(設定!Z67)),1),0,1,2,3,4,5,6,7,8,9,10))</f>
        <v/>
      </c>
      <c r="S21" s="33" t="str">
        <f ca="1">IF(K21="","",CHOOSE(MATCH(K21,IF($D21="男",INDIRECT(設定!AA67),INDIRECT(設定!AB67)),1),10,9,8,7,6,5,4,3,2,1,0))</f>
        <v/>
      </c>
      <c r="T21" s="33" t="str">
        <f ca="1">IF(L21="","",CHOOSE(MATCH(L21,IF($D21="男",INDIRECT(設定!AC67),INDIRECT(設定!AD67)),1),0,1,2,3,4,5,6,7,8,9,10))</f>
        <v/>
      </c>
      <c r="U21" s="38" t="str">
        <f ca="1">IF(M21="","",CHOOSE(MATCH(M21,IF($D21="男",INDIRECT(設定!AE67),INDIRECT(設定!AF67)),1),0,1,2,3,4,5,6,7,8,9,10))</f>
        <v/>
      </c>
      <c r="V21" s="32">
        <f t="shared" si="22"/>
        <v>0</v>
      </c>
      <c r="W21" s="33">
        <f t="shared" ca="1" si="23"/>
        <v>0</v>
      </c>
      <c r="X21" s="33" t="str">
        <f t="shared" si="12"/>
        <v>-----</v>
      </c>
      <c r="Y21" s="22">
        <f t="shared" ca="1" si="24"/>
        <v>0</v>
      </c>
      <c r="Z21" s="22">
        <f t="shared" ca="1" si="25"/>
        <v>0</v>
      </c>
      <c r="AA21" s="54" t="str">
        <f ca="1">IF(V21=8,CHOOSE(MATCH(W21,INDIRECT(設定!AG67),1),1,2,3,4,5),"-----")</f>
        <v>-----</v>
      </c>
      <c r="AB21" s="79" t="str">
        <f t="shared" si="13"/>
        <v>A018</v>
      </c>
      <c r="AC21" s="100"/>
      <c r="AD21" s="82"/>
      <c r="AE21" s="83"/>
      <c r="AF21" s="83"/>
      <c r="AG21" s="92"/>
      <c r="AH21" s="84"/>
      <c r="AI21" s="84"/>
      <c r="AJ21" s="85"/>
      <c r="AK21" s="85"/>
      <c r="AL21" s="95"/>
      <c r="AM21" s="83"/>
      <c r="AN21" s="86"/>
      <c r="AO21" s="86"/>
      <c r="AP21" s="87"/>
      <c r="AQ21" s="87"/>
      <c r="AR21" s="81" t="str">
        <f t="shared" si="0"/>
        <v>A018</v>
      </c>
      <c r="AS21" s="88"/>
      <c r="AT21" s="89"/>
      <c r="AU21">
        <f t="shared" si="1"/>
        <v>0</v>
      </c>
      <c r="AV21">
        <f t="shared" si="2"/>
        <v>0</v>
      </c>
      <c r="AW21" s="59">
        <f t="shared" si="14"/>
        <v>0</v>
      </c>
      <c r="AX21" s="8" t="str">
        <f t="shared" si="15"/>
        <v>0</v>
      </c>
      <c r="AY21">
        <f t="shared" si="16"/>
        <v>0</v>
      </c>
      <c r="AZ21">
        <f t="shared" si="17"/>
        <v>0</v>
      </c>
      <c r="BA21">
        <f t="shared" si="18"/>
        <v>0</v>
      </c>
      <c r="BB21">
        <f t="shared" si="19"/>
        <v>0</v>
      </c>
      <c r="BC21" s="59">
        <f t="shared" si="20"/>
        <v>0</v>
      </c>
      <c r="BD21" s="59" t="str">
        <f t="shared" si="21"/>
        <v/>
      </c>
    </row>
    <row r="22" spans="1:56" ht="18.600000000000001" customHeight="1">
      <c r="A22" s="35">
        <v>19</v>
      </c>
      <c r="B22" s="36" t="s">
        <v>155</v>
      </c>
      <c r="C22" s="163"/>
      <c r="D22" s="164"/>
      <c r="E22" s="117">
        <f t="shared" si="3"/>
        <v>11</v>
      </c>
      <c r="F22" s="146" t="str">
        <f t="shared" si="4"/>
        <v/>
      </c>
      <c r="G22" s="120" t="str">
        <f t="shared" si="5"/>
        <v/>
      </c>
      <c r="H22" s="67" t="str">
        <f t="shared" si="6"/>
        <v/>
      </c>
      <c r="I22" s="68" t="str">
        <f t="shared" si="7"/>
        <v/>
      </c>
      <c r="J22" s="121" t="str">
        <f t="shared" si="8"/>
        <v/>
      </c>
      <c r="K22" s="122" t="str">
        <f t="shared" si="9"/>
        <v/>
      </c>
      <c r="L22" s="123" t="str">
        <f t="shared" si="10"/>
        <v/>
      </c>
      <c r="M22" s="135" t="str">
        <f t="shared" si="11"/>
        <v/>
      </c>
      <c r="N22" s="32" t="str">
        <f ca="1">IF(F22="","",CHOOSE(MATCH($F22,IF($D22="男",INDIRECT(設定!Q68),INDIRECT(設定!R68)),1),0,1,2,3,4,5,6,7,8,9,10))</f>
        <v/>
      </c>
      <c r="O22" s="33" t="str">
        <f ca="1">IF(G22="","",CHOOSE(MATCH(G22,IF($D22="男",INDIRECT(設定!S68),INDIRECT(設定!T68)),1),0,1,2,3,4,5,6,7,8,9,10))</f>
        <v/>
      </c>
      <c r="P22" s="33" t="str">
        <f ca="1">IF(H22="","",CHOOSE(MATCH(H22,IF($D22="男",INDIRECT(設定!U68),INDIRECT(設定!V68)),1),0,1,2,3,4,5,6,7,8,9,10))</f>
        <v/>
      </c>
      <c r="Q22" s="33" t="str">
        <f ca="1">IF(I22="","",CHOOSE(MATCH(I22,IF($D22="男",INDIRECT(設定!W68),INDIRECT(設定!X68)),1),0,1,2,3,4,5,6,7,8,9,10))</f>
        <v/>
      </c>
      <c r="R22" s="33" t="str">
        <f ca="1">IF(J22="","",CHOOSE(MATCH(J22,IF($D22="男",INDIRECT(設定!Y68),INDIRECT(設定!Z68)),1),0,1,2,3,4,5,6,7,8,9,10))</f>
        <v/>
      </c>
      <c r="S22" s="33" t="str">
        <f ca="1">IF(K22="","",CHOOSE(MATCH(K22,IF($D22="男",INDIRECT(設定!AA68),INDIRECT(設定!AB68)),1),10,9,8,7,6,5,4,3,2,1,0))</f>
        <v/>
      </c>
      <c r="T22" s="33" t="str">
        <f ca="1">IF(L22="","",CHOOSE(MATCH(L22,IF($D22="男",INDIRECT(設定!AC68),INDIRECT(設定!AD68)),1),0,1,2,3,4,5,6,7,8,9,10))</f>
        <v/>
      </c>
      <c r="U22" s="38" t="str">
        <f ca="1">IF(M22="","",CHOOSE(MATCH(M22,IF($D22="男",INDIRECT(設定!AE68),INDIRECT(設定!AF68)),1),0,1,2,3,4,5,6,7,8,9,10))</f>
        <v/>
      </c>
      <c r="V22" s="32">
        <f t="shared" si="22"/>
        <v>0</v>
      </c>
      <c r="W22" s="33">
        <f t="shared" ca="1" si="23"/>
        <v>0</v>
      </c>
      <c r="X22" s="33" t="str">
        <f t="shared" si="12"/>
        <v>-----</v>
      </c>
      <c r="Y22" s="22">
        <f t="shared" ca="1" si="24"/>
        <v>0</v>
      </c>
      <c r="Z22" s="22">
        <f t="shared" ca="1" si="25"/>
        <v>0</v>
      </c>
      <c r="AA22" s="54" t="str">
        <f ca="1">IF(V22=8,CHOOSE(MATCH(W22,INDIRECT(設定!AG68),1),1,2,3,4,5),"-----")</f>
        <v>-----</v>
      </c>
      <c r="AB22" s="79" t="str">
        <f t="shared" si="13"/>
        <v>A019</v>
      </c>
      <c r="AC22" s="100"/>
      <c r="AD22" s="82"/>
      <c r="AE22" s="83"/>
      <c r="AF22" s="83"/>
      <c r="AG22" s="92"/>
      <c r="AH22" s="84"/>
      <c r="AI22" s="84"/>
      <c r="AJ22" s="85"/>
      <c r="AK22" s="85"/>
      <c r="AL22" s="95"/>
      <c r="AM22" s="83"/>
      <c r="AN22" s="86"/>
      <c r="AO22" s="86"/>
      <c r="AP22" s="87"/>
      <c r="AQ22" s="87"/>
      <c r="AR22" s="81" t="str">
        <f t="shared" si="0"/>
        <v>A019</v>
      </c>
      <c r="AS22" s="88"/>
      <c r="AT22" s="89"/>
      <c r="AU22">
        <f t="shared" si="1"/>
        <v>0</v>
      </c>
      <c r="AV22">
        <f t="shared" si="2"/>
        <v>0</v>
      </c>
      <c r="AW22" s="59">
        <f t="shared" si="14"/>
        <v>0</v>
      </c>
      <c r="AX22" s="8" t="str">
        <f t="shared" si="15"/>
        <v>0</v>
      </c>
      <c r="AY22">
        <f t="shared" si="16"/>
        <v>0</v>
      </c>
      <c r="AZ22">
        <f t="shared" si="17"/>
        <v>0</v>
      </c>
      <c r="BA22">
        <f t="shared" si="18"/>
        <v>0</v>
      </c>
      <c r="BB22">
        <f t="shared" si="19"/>
        <v>0</v>
      </c>
      <c r="BC22" s="59">
        <f t="shared" si="20"/>
        <v>0</v>
      </c>
      <c r="BD22" s="59" t="str">
        <f t="shared" si="21"/>
        <v/>
      </c>
    </row>
    <row r="23" spans="1:56" ht="18.600000000000001" customHeight="1" thickBot="1">
      <c r="A23" s="43">
        <v>20</v>
      </c>
      <c r="B23" s="36" t="s">
        <v>156</v>
      </c>
      <c r="C23" s="163"/>
      <c r="D23" s="164"/>
      <c r="E23" s="118">
        <f t="shared" si="3"/>
        <v>11</v>
      </c>
      <c r="F23" s="149" t="str">
        <f t="shared" si="4"/>
        <v/>
      </c>
      <c r="G23" s="139" t="str">
        <f t="shared" si="5"/>
        <v/>
      </c>
      <c r="H23" s="66" t="str">
        <f t="shared" si="6"/>
        <v/>
      </c>
      <c r="I23" s="140" t="str">
        <f t="shared" si="7"/>
        <v/>
      </c>
      <c r="J23" s="141" t="str">
        <f t="shared" si="8"/>
        <v/>
      </c>
      <c r="K23" s="142" t="str">
        <f t="shared" si="9"/>
        <v/>
      </c>
      <c r="L23" s="143" t="str">
        <f t="shared" si="10"/>
        <v/>
      </c>
      <c r="M23" s="144" t="str">
        <f t="shared" si="11"/>
        <v/>
      </c>
      <c r="N23" s="47" t="str">
        <f ca="1">IF(F23="","",CHOOSE(MATCH($F23,IF($D23="男",INDIRECT(設定!Q69),INDIRECT(設定!R69)),1),0,1,2,3,4,5,6,7,8,9,10))</f>
        <v/>
      </c>
      <c r="O23" s="48" t="str">
        <f ca="1">IF(G23="","",CHOOSE(MATCH(G23,IF($D23="男",INDIRECT(設定!S69),INDIRECT(設定!T69)),1),0,1,2,3,4,5,6,7,8,9,10))</f>
        <v/>
      </c>
      <c r="P23" s="48" t="str">
        <f ca="1">IF(H23="","",CHOOSE(MATCH(H23,IF($D23="男",INDIRECT(設定!U69),INDIRECT(設定!V69)),1),0,1,2,3,4,5,6,7,8,9,10))</f>
        <v/>
      </c>
      <c r="Q23" s="48" t="str">
        <f ca="1">IF(I23="","",CHOOSE(MATCH(I23,IF($D23="男",INDIRECT(設定!W69),INDIRECT(設定!X69)),1),0,1,2,3,4,5,6,7,8,9,10))</f>
        <v/>
      </c>
      <c r="R23" s="48" t="str">
        <f ca="1">IF(J23="","",CHOOSE(MATCH(J23,IF($D23="男",INDIRECT(設定!Y69),INDIRECT(設定!Z69)),1),0,1,2,3,4,5,6,7,8,9,10))</f>
        <v/>
      </c>
      <c r="S23" s="48" t="str">
        <f ca="1">IF(K23="","",CHOOSE(MATCH(K23,IF($D23="男",INDIRECT(設定!AA69),INDIRECT(設定!AB69)),1),10,9,8,7,6,5,4,3,2,1,0))</f>
        <v/>
      </c>
      <c r="T23" s="48" t="str">
        <f ca="1">IF(L23="","",CHOOSE(MATCH(L23,IF($D23="男",INDIRECT(設定!AC69),INDIRECT(設定!AD69)),1),0,1,2,3,4,5,6,7,8,9,10))</f>
        <v/>
      </c>
      <c r="U23" s="49" t="str">
        <f ca="1">IF(M23="","",CHOOSE(MATCH(M23,IF($D23="男",INDIRECT(設定!AE69),INDIRECT(設定!AF69)),1),0,1,2,3,4,5,6,7,8,9,10))</f>
        <v/>
      </c>
      <c r="V23" s="47">
        <f t="shared" si="22"/>
        <v>0</v>
      </c>
      <c r="W23" s="48">
        <f t="shared" ca="1" si="23"/>
        <v>0</v>
      </c>
      <c r="X23" s="48" t="str">
        <f t="shared" si="12"/>
        <v>-----</v>
      </c>
      <c r="Y23" s="22">
        <f t="shared" ca="1" si="24"/>
        <v>0</v>
      </c>
      <c r="Z23" s="22">
        <f t="shared" ca="1" si="25"/>
        <v>0</v>
      </c>
      <c r="AA23" s="54" t="str">
        <f ca="1">IF(V23=8,CHOOSE(MATCH(W23,INDIRECT(設定!AG69),1),1,2,3,4,5),"-----")</f>
        <v>-----</v>
      </c>
      <c r="AB23" s="79" t="str">
        <f t="shared" si="13"/>
        <v>A020</v>
      </c>
      <c r="AC23" s="100"/>
      <c r="AD23" s="82"/>
      <c r="AE23" s="83"/>
      <c r="AF23" s="83"/>
      <c r="AG23" s="92"/>
      <c r="AH23" s="84"/>
      <c r="AI23" s="84"/>
      <c r="AJ23" s="85"/>
      <c r="AK23" s="85"/>
      <c r="AL23" s="95"/>
      <c r="AM23" s="83"/>
      <c r="AN23" s="86"/>
      <c r="AO23" s="86"/>
      <c r="AP23" s="87"/>
      <c r="AQ23" s="87"/>
      <c r="AR23" s="81" t="str">
        <f t="shared" si="0"/>
        <v>A020</v>
      </c>
      <c r="AS23" s="88"/>
      <c r="AT23" s="89"/>
      <c r="AU23">
        <f t="shared" si="1"/>
        <v>0</v>
      </c>
      <c r="AV23">
        <f t="shared" si="2"/>
        <v>0</v>
      </c>
      <c r="AW23" s="59">
        <f t="shared" si="14"/>
        <v>0</v>
      </c>
      <c r="AX23" s="8" t="str">
        <f t="shared" si="15"/>
        <v>0</v>
      </c>
      <c r="AY23">
        <f t="shared" si="16"/>
        <v>0</v>
      </c>
      <c r="AZ23">
        <f t="shared" si="17"/>
        <v>0</v>
      </c>
      <c r="BA23">
        <f t="shared" si="18"/>
        <v>0</v>
      </c>
      <c r="BB23">
        <f t="shared" si="19"/>
        <v>0</v>
      </c>
      <c r="BC23" s="59">
        <f t="shared" si="20"/>
        <v>0</v>
      </c>
      <c r="BD23" s="59" t="str">
        <f t="shared" si="21"/>
        <v/>
      </c>
    </row>
    <row r="24" spans="1:56" ht="18.600000000000001" customHeight="1" thickTop="1">
      <c r="A24" s="29">
        <v>21</v>
      </c>
      <c r="B24" s="36" t="s">
        <v>157</v>
      </c>
      <c r="C24" s="163"/>
      <c r="D24" s="164"/>
      <c r="E24" s="119">
        <f t="shared" si="3"/>
        <v>11</v>
      </c>
      <c r="F24" s="150" t="str">
        <f t="shared" si="4"/>
        <v/>
      </c>
      <c r="G24" s="128" t="str">
        <f t="shared" si="5"/>
        <v/>
      </c>
      <c r="H24" s="129" t="str">
        <f t="shared" si="6"/>
        <v/>
      </c>
      <c r="I24" s="130" t="str">
        <f t="shared" si="7"/>
        <v/>
      </c>
      <c r="J24" s="131" t="str">
        <f t="shared" si="8"/>
        <v/>
      </c>
      <c r="K24" s="132" t="str">
        <f t="shared" si="9"/>
        <v/>
      </c>
      <c r="L24" s="133" t="str">
        <f t="shared" si="10"/>
        <v/>
      </c>
      <c r="M24" s="134" t="str">
        <f t="shared" si="11"/>
        <v/>
      </c>
      <c r="N24" s="32" t="str">
        <f ca="1">IF(F24="","",CHOOSE(MATCH($F24,IF($D24="男",INDIRECT(設定!Q70),INDIRECT(設定!R70)),1),0,1,2,3,4,5,6,7,8,9,10))</f>
        <v/>
      </c>
      <c r="O24" s="33" t="str">
        <f ca="1">IF(G24="","",CHOOSE(MATCH(G24,IF($D24="男",INDIRECT(設定!S70),INDIRECT(設定!T70)),1),0,1,2,3,4,5,6,7,8,9,10))</f>
        <v/>
      </c>
      <c r="P24" s="33" t="str">
        <f ca="1">IF(H24="","",CHOOSE(MATCH(H24,IF($D24="男",INDIRECT(設定!U70),INDIRECT(設定!V70)),1),0,1,2,3,4,5,6,7,8,9,10))</f>
        <v/>
      </c>
      <c r="Q24" s="33" t="str">
        <f ca="1">IF(I24="","",CHOOSE(MATCH(I24,IF($D24="男",INDIRECT(設定!W70),INDIRECT(設定!X70)),1),0,1,2,3,4,5,6,7,8,9,10))</f>
        <v/>
      </c>
      <c r="R24" s="33" t="str">
        <f ca="1">IF(J24="","",CHOOSE(MATCH(J24,IF($D24="男",INDIRECT(設定!Y70),INDIRECT(設定!Z70)),1),0,1,2,3,4,5,6,7,8,9,10))</f>
        <v/>
      </c>
      <c r="S24" s="33" t="str">
        <f ca="1">IF(K24="","",CHOOSE(MATCH(K24,IF($D24="男",INDIRECT(設定!AA70),INDIRECT(設定!AB70)),1),10,9,8,7,6,5,4,3,2,1,0))</f>
        <v/>
      </c>
      <c r="T24" s="33" t="str">
        <f ca="1">IF(L24="","",CHOOSE(MATCH(L24,IF($D24="男",INDIRECT(設定!AC70),INDIRECT(設定!AD70)),1),0,1,2,3,4,5,6,7,8,9,10))</f>
        <v/>
      </c>
      <c r="U24" s="45" t="str">
        <f ca="1">IF(M24="","",CHOOSE(MATCH(M24,IF($D24="男",INDIRECT(設定!AE70),INDIRECT(設定!AF70)),1),0,1,2,3,4,5,6,7,8,9,10))</f>
        <v/>
      </c>
      <c r="V24" s="32">
        <f t="shared" si="22"/>
        <v>0</v>
      </c>
      <c r="W24" s="33">
        <f t="shared" ca="1" si="23"/>
        <v>0</v>
      </c>
      <c r="X24" s="33" t="str">
        <f t="shared" si="12"/>
        <v>-----</v>
      </c>
      <c r="Y24" s="22">
        <f t="shared" ca="1" si="24"/>
        <v>0</v>
      </c>
      <c r="Z24" s="22">
        <f t="shared" ca="1" si="25"/>
        <v>0</v>
      </c>
      <c r="AA24" s="54" t="str">
        <f ca="1">IF(V24=8,CHOOSE(MATCH(W24,INDIRECT(設定!AG70),1),1,2,3,4,5),"-----")</f>
        <v>-----</v>
      </c>
      <c r="AB24" s="79" t="str">
        <f t="shared" si="13"/>
        <v>A021</v>
      </c>
      <c r="AC24" s="100"/>
      <c r="AD24" s="82"/>
      <c r="AE24" s="83"/>
      <c r="AF24" s="83"/>
      <c r="AG24" s="92"/>
      <c r="AH24" s="84"/>
      <c r="AI24" s="84"/>
      <c r="AJ24" s="85"/>
      <c r="AK24" s="85"/>
      <c r="AL24" s="95"/>
      <c r="AM24" s="83"/>
      <c r="AN24" s="86"/>
      <c r="AO24" s="86"/>
      <c r="AP24" s="87"/>
      <c r="AQ24" s="87"/>
      <c r="AR24" s="81" t="str">
        <f t="shared" si="0"/>
        <v>A021</v>
      </c>
      <c r="AS24" s="88"/>
      <c r="AT24" s="89"/>
      <c r="AU24">
        <f t="shared" si="1"/>
        <v>0</v>
      </c>
      <c r="AV24">
        <f t="shared" si="2"/>
        <v>0</v>
      </c>
      <c r="AW24" s="59">
        <f t="shared" si="14"/>
        <v>0</v>
      </c>
      <c r="AX24" s="8" t="str">
        <f t="shared" si="15"/>
        <v>0</v>
      </c>
      <c r="AY24">
        <f t="shared" si="16"/>
        <v>0</v>
      </c>
      <c r="AZ24">
        <f t="shared" si="17"/>
        <v>0</v>
      </c>
      <c r="BA24">
        <f t="shared" si="18"/>
        <v>0</v>
      </c>
      <c r="BB24">
        <f t="shared" si="19"/>
        <v>0</v>
      </c>
      <c r="BC24" s="59">
        <f t="shared" si="20"/>
        <v>0</v>
      </c>
      <c r="BD24" s="59" t="str">
        <f t="shared" si="21"/>
        <v/>
      </c>
    </row>
    <row r="25" spans="1:56" ht="18.600000000000001" customHeight="1">
      <c r="A25" s="35">
        <v>22</v>
      </c>
      <c r="B25" s="36" t="s">
        <v>158</v>
      </c>
      <c r="C25" s="163"/>
      <c r="D25" s="164"/>
      <c r="E25" s="117">
        <f t="shared" si="3"/>
        <v>11</v>
      </c>
      <c r="F25" s="146" t="str">
        <f t="shared" si="4"/>
        <v/>
      </c>
      <c r="G25" s="120" t="str">
        <f t="shared" si="5"/>
        <v/>
      </c>
      <c r="H25" s="67" t="str">
        <f t="shared" si="6"/>
        <v/>
      </c>
      <c r="I25" s="68" t="str">
        <f t="shared" si="7"/>
        <v/>
      </c>
      <c r="J25" s="121" t="str">
        <f t="shared" si="8"/>
        <v/>
      </c>
      <c r="K25" s="122" t="str">
        <f t="shared" si="9"/>
        <v/>
      </c>
      <c r="L25" s="123" t="str">
        <f t="shared" si="10"/>
        <v/>
      </c>
      <c r="M25" s="135" t="str">
        <f t="shared" si="11"/>
        <v/>
      </c>
      <c r="N25" s="32" t="str">
        <f ca="1">IF(F25="","",CHOOSE(MATCH($F25,IF($D25="男",INDIRECT(設定!Q71),INDIRECT(設定!R71)),1),0,1,2,3,4,5,6,7,8,9,10))</f>
        <v/>
      </c>
      <c r="O25" s="33" t="str">
        <f ca="1">IF(G25="","",CHOOSE(MATCH(G25,IF($D25="男",INDIRECT(設定!S71),INDIRECT(設定!T71)),1),0,1,2,3,4,5,6,7,8,9,10))</f>
        <v/>
      </c>
      <c r="P25" s="33" t="str">
        <f ca="1">IF(H25="","",CHOOSE(MATCH(H25,IF($D25="男",INDIRECT(設定!U71),INDIRECT(設定!V71)),1),0,1,2,3,4,5,6,7,8,9,10))</f>
        <v/>
      </c>
      <c r="Q25" s="33" t="str">
        <f ca="1">IF(I25="","",CHOOSE(MATCH(I25,IF($D25="男",INDIRECT(設定!W71),INDIRECT(設定!X71)),1),0,1,2,3,4,5,6,7,8,9,10))</f>
        <v/>
      </c>
      <c r="R25" s="33" t="str">
        <f ca="1">IF(J25="","",CHOOSE(MATCH(J25,IF($D25="男",INDIRECT(設定!Y71),INDIRECT(設定!Z71)),1),0,1,2,3,4,5,6,7,8,9,10))</f>
        <v/>
      </c>
      <c r="S25" s="33" t="str">
        <f ca="1">IF(K25="","",CHOOSE(MATCH(K25,IF($D25="男",INDIRECT(設定!AA71),INDIRECT(設定!AB71)),1),10,9,8,7,6,5,4,3,2,1,0))</f>
        <v/>
      </c>
      <c r="T25" s="33" t="str">
        <f ca="1">IF(L25="","",CHOOSE(MATCH(L25,IF($D25="男",INDIRECT(設定!AC71),INDIRECT(設定!AD71)),1),0,1,2,3,4,5,6,7,8,9,10))</f>
        <v/>
      </c>
      <c r="U25" s="38" t="str">
        <f ca="1">IF(M25="","",CHOOSE(MATCH(M25,IF($D25="男",INDIRECT(設定!AE71),INDIRECT(設定!AF71)),1),0,1,2,3,4,5,6,7,8,9,10))</f>
        <v/>
      </c>
      <c r="V25" s="32">
        <f t="shared" si="22"/>
        <v>0</v>
      </c>
      <c r="W25" s="33">
        <f t="shared" ca="1" si="23"/>
        <v>0</v>
      </c>
      <c r="X25" s="33" t="str">
        <f t="shared" si="12"/>
        <v>-----</v>
      </c>
      <c r="Y25" s="22">
        <f t="shared" ca="1" si="24"/>
        <v>0</v>
      </c>
      <c r="Z25" s="22">
        <f t="shared" ca="1" si="25"/>
        <v>0</v>
      </c>
      <c r="AA25" s="54" t="str">
        <f ca="1">IF(V25=8,CHOOSE(MATCH(W25,INDIRECT(設定!AG71),1),1,2,3,4,5),"-----")</f>
        <v>-----</v>
      </c>
      <c r="AB25" s="79" t="str">
        <f t="shared" si="13"/>
        <v>A022</v>
      </c>
      <c r="AC25" s="100"/>
      <c r="AD25" s="82"/>
      <c r="AE25" s="83"/>
      <c r="AF25" s="83"/>
      <c r="AG25" s="92"/>
      <c r="AH25" s="84"/>
      <c r="AI25" s="84"/>
      <c r="AJ25" s="85"/>
      <c r="AK25" s="85"/>
      <c r="AL25" s="95"/>
      <c r="AM25" s="83"/>
      <c r="AN25" s="86"/>
      <c r="AO25" s="86"/>
      <c r="AP25" s="87"/>
      <c r="AQ25" s="87"/>
      <c r="AR25" s="81" t="str">
        <f t="shared" si="0"/>
        <v>A022</v>
      </c>
      <c r="AS25" s="88"/>
      <c r="AT25" s="89"/>
      <c r="AU25">
        <f t="shared" si="1"/>
        <v>0</v>
      </c>
      <c r="AV25">
        <f t="shared" si="2"/>
        <v>0</v>
      </c>
      <c r="AW25" s="59">
        <f t="shared" si="14"/>
        <v>0</v>
      </c>
      <c r="AX25" s="8" t="str">
        <f t="shared" si="15"/>
        <v>0</v>
      </c>
      <c r="AY25">
        <f t="shared" si="16"/>
        <v>0</v>
      </c>
      <c r="AZ25">
        <f t="shared" si="17"/>
        <v>0</v>
      </c>
      <c r="BA25">
        <f t="shared" si="18"/>
        <v>0</v>
      </c>
      <c r="BB25">
        <f t="shared" si="19"/>
        <v>0</v>
      </c>
      <c r="BC25" s="59">
        <f t="shared" si="20"/>
        <v>0</v>
      </c>
      <c r="BD25" s="59" t="str">
        <f t="shared" si="21"/>
        <v/>
      </c>
    </row>
    <row r="26" spans="1:56" ht="18.600000000000001" customHeight="1">
      <c r="A26" s="35">
        <v>23</v>
      </c>
      <c r="B26" s="36" t="s">
        <v>159</v>
      </c>
      <c r="C26" s="163"/>
      <c r="D26" s="164"/>
      <c r="E26" s="117">
        <f t="shared" si="3"/>
        <v>11</v>
      </c>
      <c r="F26" s="146" t="str">
        <f t="shared" si="4"/>
        <v/>
      </c>
      <c r="G26" s="120" t="str">
        <f t="shared" si="5"/>
        <v/>
      </c>
      <c r="H26" s="67" t="str">
        <f t="shared" si="6"/>
        <v/>
      </c>
      <c r="I26" s="68" t="str">
        <f t="shared" si="7"/>
        <v/>
      </c>
      <c r="J26" s="121" t="str">
        <f t="shared" si="8"/>
        <v/>
      </c>
      <c r="K26" s="122" t="str">
        <f t="shared" si="9"/>
        <v/>
      </c>
      <c r="L26" s="123" t="str">
        <f t="shared" si="10"/>
        <v/>
      </c>
      <c r="M26" s="135" t="str">
        <f t="shared" si="11"/>
        <v/>
      </c>
      <c r="N26" s="32" t="str">
        <f ca="1">IF(F26="","",CHOOSE(MATCH($F26,IF($D26="男",INDIRECT(設定!Q72),INDIRECT(設定!R72)),1),0,1,2,3,4,5,6,7,8,9,10))</f>
        <v/>
      </c>
      <c r="O26" s="33" t="str">
        <f ca="1">IF(G26="","",CHOOSE(MATCH(G26,IF($D26="男",INDIRECT(設定!S72),INDIRECT(設定!T72)),1),0,1,2,3,4,5,6,7,8,9,10))</f>
        <v/>
      </c>
      <c r="P26" s="33" t="str">
        <f ca="1">IF(H26="","",CHOOSE(MATCH(H26,IF($D26="男",INDIRECT(設定!U72),INDIRECT(設定!V72)),1),0,1,2,3,4,5,6,7,8,9,10))</f>
        <v/>
      </c>
      <c r="Q26" s="33" t="str">
        <f ca="1">IF(I26="","",CHOOSE(MATCH(I26,IF($D26="男",INDIRECT(設定!W72),INDIRECT(設定!X72)),1),0,1,2,3,4,5,6,7,8,9,10))</f>
        <v/>
      </c>
      <c r="R26" s="33" t="str">
        <f ca="1">IF(J26="","",CHOOSE(MATCH(J26,IF($D26="男",INDIRECT(設定!Y72),INDIRECT(設定!Z72)),1),0,1,2,3,4,5,6,7,8,9,10))</f>
        <v/>
      </c>
      <c r="S26" s="33" t="str">
        <f ca="1">IF(K26="","",CHOOSE(MATCH(K26,IF($D26="男",INDIRECT(設定!AA72),INDIRECT(設定!AB72)),1),10,9,8,7,6,5,4,3,2,1,0))</f>
        <v/>
      </c>
      <c r="T26" s="33" t="str">
        <f ca="1">IF(L26="","",CHOOSE(MATCH(L26,IF($D26="男",INDIRECT(設定!AC72),INDIRECT(設定!AD72)),1),0,1,2,3,4,5,6,7,8,9,10))</f>
        <v/>
      </c>
      <c r="U26" s="38" t="str">
        <f ca="1">IF(M26="","",CHOOSE(MATCH(M26,IF($D26="男",INDIRECT(設定!AE72),INDIRECT(設定!AF72)),1),0,1,2,3,4,5,6,7,8,9,10))</f>
        <v/>
      </c>
      <c r="V26" s="32">
        <f t="shared" si="22"/>
        <v>0</v>
      </c>
      <c r="W26" s="33">
        <f t="shared" ca="1" si="23"/>
        <v>0</v>
      </c>
      <c r="X26" s="33" t="str">
        <f t="shared" si="12"/>
        <v>-----</v>
      </c>
      <c r="Y26" s="22">
        <f t="shared" ca="1" si="24"/>
        <v>0</v>
      </c>
      <c r="Z26" s="22">
        <f t="shared" ca="1" si="25"/>
        <v>0</v>
      </c>
      <c r="AA26" s="54" t="str">
        <f ca="1">IF(V26=8,CHOOSE(MATCH(W26,INDIRECT(設定!AG72),1),1,2,3,4,5),"-----")</f>
        <v>-----</v>
      </c>
      <c r="AB26" s="79" t="str">
        <f t="shared" si="13"/>
        <v>A023</v>
      </c>
      <c r="AC26" s="100"/>
      <c r="AD26" s="82"/>
      <c r="AE26" s="83"/>
      <c r="AF26" s="83"/>
      <c r="AG26" s="92"/>
      <c r="AH26" s="84"/>
      <c r="AI26" s="84"/>
      <c r="AJ26" s="85"/>
      <c r="AK26" s="85"/>
      <c r="AL26" s="95"/>
      <c r="AM26" s="83"/>
      <c r="AN26" s="86"/>
      <c r="AO26" s="86"/>
      <c r="AP26" s="87"/>
      <c r="AQ26" s="87"/>
      <c r="AR26" s="81" t="str">
        <f t="shared" si="0"/>
        <v>A023</v>
      </c>
      <c r="AS26" s="88"/>
      <c r="AT26" s="89"/>
      <c r="AU26">
        <f t="shared" si="1"/>
        <v>0</v>
      </c>
      <c r="AV26">
        <f t="shared" si="2"/>
        <v>0</v>
      </c>
      <c r="AW26" s="59">
        <f t="shared" si="14"/>
        <v>0</v>
      </c>
      <c r="AX26" s="8" t="str">
        <f t="shared" si="15"/>
        <v>0</v>
      </c>
      <c r="AY26">
        <f t="shared" si="16"/>
        <v>0</v>
      </c>
      <c r="AZ26">
        <f t="shared" si="17"/>
        <v>0</v>
      </c>
      <c r="BA26">
        <f t="shared" si="18"/>
        <v>0</v>
      </c>
      <c r="BB26">
        <f t="shared" si="19"/>
        <v>0</v>
      </c>
      <c r="BC26" s="59">
        <f t="shared" si="20"/>
        <v>0</v>
      </c>
      <c r="BD26" s="59" t="str">
        <f t="shared" si="21"/>
        <v/>
      </c>
    </row>
    <row r="27" spans="1:56" ht="18.600000000000001" customHeight="1">
      <c r="A27" s="35">
        <v>24</v>
      </c>
      <c r="B27" s="36" t="s">
        <v>160</v>
      </c>
      <c r="C27" s="163"/>
      <c r="D27" s="164"/>
      <c r="E27" s="117">
        <f t="shared" si="3"/>
        <v>11</v>
      </c>
      <c r="F27" s="146" t="str">
        <f t="shared" si="4"/>
        <v/>
      </c>
      <c r="G27" s="120" t="str">
        <f t="shared" si="5"/>
        <v/>
      </c>
      <c r="H27" s="67" t="str">
        <f t="shared" si="6"/>
        <v/>
      </c>
      <c r="I27" s="68" t="str">
        <f t="shared" si="7"/>
        <v/>
      </c>
      <c r="J27" s="121" t="str">
        <f t="shared" si="8"/>
        <v/>
      </c>
      <c r="K27" s="122" t="str">
        <f t="shared" si="9"/>
        <v/>
      </c>
      <c r="L27" s="123" t="str">
        <f t="shared" si="10"/>
        <v/>
      </c>
      <c r="M27" s="135" t="str">
        <f t="shared" si="11"/>
        <v/>
      </c>
      <c r="N27" s="32" t="str">
        <f ca="1">IF(F27="","",CHOOSE(MATCH($F27,IF($D27="男",INDIRECT(設定!Q73),INDIRECT(設定!R73)),1),0,1,2,3,4,5,6,7,8,9,10))</f>
        <v/>
      </c>
      <c r="O27" s="33" t="str">
        <f ca="1">IF(G27="","",CHOOSE(MATCH(G27,IF($D27="男",INDIRECT(設定!S73),INDIRECT(設定!T73)),1),0,1,2,3,4,5,6,7,8,9,10))</f>
        <v/>
      </c>
      <c r="P27" s="33" t="str">
        <f ca="1">IF(H27="","",CHOOSE(MATCH(H27,IF($D27="男",INDIRECT(設定!U73),INDIRECT(設定!V73)),1),0,1,2,3,4,5,6,7,8,9,10))</f>
        <v/>
      </c>
      <c r="Q27" s="33" t="str">
        <f ca="1">IF(I27="","",CHOOSE(MATCH(I27,IF($D27="男",INDIRECT(設定!W73),INDIRECT(設定!X73)),1),0,1,2,3,4,5,6,7,8,9,10))</f>
        <v/>
      </c>
      <c r="R27" s="33" t="str">
        <f ca="1">IF(J27="","",CHOOSE(MATCH(J27,IF($D27="男",INDIRECT(設定!Y73),INDIRECT(設定!Z73)),1),0,1,2,3,4,5,6,7,8,9,10))</f>
        <v/>
      </c>
      <c r="S27" s="33" t="str">
        <f ca="1">IF(K27="","",CHOOSE(MATCH(K27,IF($D27="男",INDIRECT(設定!AA73),INDIRECT(設定!AB73)),1),10,9,8,7,6,5,4,3,2,1,0))</f>
        <v/>
      </c>
      <c r="T27" s="33" t="str">
        <f ca="1">IF(L27="","",CHOOSE(MATCH(L27,IF($D27="男",INDIRECT(設定!AC73),INDIRECT(設定!AD73)),1),0,1,2,3,4,5,6,7,8,9,10))</f>
        <v/>
      </c>
      <c r="U27" s="38" t="str">
        <f ca="1">IF(M27="","",CHOOSE(MATCH(M27,IF($D27="男",INDIRECT(設定!AE73),INDIRECT(設定!AF73)),1),0,1,2,3,4,5,6,7,8,9,10))</f>
        <v/>
      </c>
      <c r="V27" s="32">
        <f t="shared" si="22"/>
        <v>0</v>
      </c>
      <c r="W27" s="33">
        <f t="shared" ca="1" si="23"/>
        <v>0</v>
      </c>
      <c r="X27" s="33" t="str">
        <f t="shared" si="12"/>
        <v>-----</v>
      </c>
      <c r="Y27" s="22">
        <f t="shared" ca="1" si="24"/>
        <v>0</v>
      </c>
      <c r="Z27" s="22">
        <f t="shared" ca="1" si="25"/>
        <v>0</v>
      </c>
      <c r="AA27" s="54" t="str">
        <f ca="1">IF(V27=8,CHOOSE(MATCH(W27,INDIRECT(設定!AG73),1),1,2,3,4,5),"-----")</f>
        <v>-----</v>
      </c>
      <c r="AB27" s="79" t="str">
        <f t="shared" si="13"/>
        <v>A024</v>
      </c>
      <c r="AC27" s="100"/>
      <c r="AD27" s="82"/>
      <c r="AE27" s="83"/>
      <c r="AF27" s="83"/>
      <c r="AG27" s="92"/>
      <c r="AH27" s="84"/>
      <c r="AI27" s="84"/>
      <c r="AJ27" s="85"/>
      <c r="AK27" s="85"/>
      <c r="AL27" s="95"/>
      <c r="AM27" s="83"/>
      <c r="AN27" s="86"/>
      <c r="AO27" s="86"/>
      <c r="AP27" s="87"/>
      <c r="AQ27" s="87"/>
      <c r="AR27" s="81" t="str">
        <f t="shared" si="0"/>
        <v>A024</v>
      </c>
      <c r="AS27" s="88"/>
      <c r="AT27" s="89"/>
      <c r="AU27">
        <f t="shared" si="1"/>
        <v>0</v>
      </c>
      <c r="AV27">
        <f t="shared" si="2"/>
        <v>0</v>
      </c>
      <c r="AW27" s="59">
        <f t="shared" si="14"/>
        <v>0</v>
      </c>
      <c r="AX27" s="8" t="str">
        <f t="shared" si="15"/>
        <v>0</v>
      </c>
      <c r="AY27">
        <f t="shared" si="16"/>
        <v>0</v>
      </c>
      <c r="AZ27">
        <f t="shared" si="17"/>
        <v>0</v>
      </c>
      <c r="BA27">
        <f t="shared" si="18"/>
        <v>0</v>
      </c>
      <c r="BB27">
        <f t="shared" si="19"/>
        <v>0</v>
      </c>
      <c r="BC27" s="59">
        <f t="shared" si="20"/>
        <v>0</v>
      </c>
      <c r="BD27" s="59" t="str">
        <f t="shared" si="21"/>
        <v/>
      </c>
    </row>
    <row r="28" spans="1:56" ht="18.600000000000001" customHeight="1" thickBot="1">
      <c r="A28" s="43">
        <v>25</v>
      </c>
      <c r="B28" s="36" t="s">
        <v>161</v>
      </c>
      <c r="C28" s="163"/>
      <c r="D28" s="164"/>
      <c r="E28" s="118">
        <f t="shared" si="3"/>
        <v>11</v>
      </c>
      <c r="F28" s="149" t="str">
        <f t="shared" si="4"/>
        <v/>
      </c>
      <c r="G28" s="136" t="str">
        <f t="shared" si="5"/>
        <v/>
      </c>
      <c r="H28" s="70" t="str">
        <f t="shared" si="6"/>
        <v/>
      </c>
      <c r="I28" s="71" t="str">
        <f t="shared" si="7"/>
        <v/>
      </c>
      <c r="J28" s="137" t="str">
        <f t="shared" si="8"/>
        <v/>
      </c>
      <c r="K28" s="138" t="str">
        <f t="shared" si="9"/>
        <v/>
      </c>
      <c r="L28" s="72" t="str">
        <f t="shared" si="10"/>
        <v/>
      </c>
      <c r="M28" s="73" t="str">
        <f t="shared" si="11"/>
        <v/>
      </c>
      <c r="N28" s="47" t="str">
        <f ca="1">IF(F28="","",CHOOSE(MATCH($F28,IF($D28="男",INDIRECT(設定!Q74),INDIRECT(設定!R74)),1),0,1,2,3,4,5,6,7,8,9,10))</f>
        <v/>
      </c>
      <c r="O28" s="48" t="str">
        <f ca="1">IF(G28="","",CHOOSE(MATCH(G28,IF($D28="男",INDIRECT(設定!S74),INDIRECT(設定!T74)),1),0,1,2,3,4,5,6,7,8,9,10))</f>
        <v/>
      </c>
      <c r="P28" s="48" t="str">
        <f ca="1">IF(H28="","",CHOOSE(MATCH(H28,IF($D28="男",INDIRECT(設定!U74),INDIRECT(設定!V74)),1),0,1,2,3,4,5,6,7,8,9,10))</f>
        <v/>
      </c>
      <c r="Q28" s="48" t="str">
        <f ca="1">IF(I28="","",CHOOSE(MATCH(I28,IF($D28="男",INDIRECT(設定!W74),INDIRECT(設定!X74)),1),0,1,2,3,4,5,6,7,8,9,10))</f>
        <v/>
      </c>
      <c r="R28" s="48" t="str">
        <f ca="1">IF(J28="","",CHOOSE(MATCH(J28,IF($D28="男",INDIRECT(設定!Y74),INDIRECT(設定!Z74)),1),0,1,2,3,4,5,6,7,8,9,10))</f>
        <v/>
      </c>
      <c r="S28" s="48" t="str">
        <f ca="1">IF(K28="","",CHOOSE(MATCH(K28,IF($D28="男",INDIRECT(設定!AA74),INDIRECT(設定!AB74)),1),10,9,8,7,6,5,4,3,2,1,0))</f>
        <v/>
      </c>
      <c r="T28" s="48" t="str">
        <f ca="1">IF(L28="","",CHOOSE(MATCH(L28,IF($D28="男",INDIRECT(設定!AC74),INDIRECT(設定!AD74)),1),0,1,2,3,4,5,6,7,8,9,10))</f>
        <v/>
      </c>
      <c r="U28" s="49" t="str">
        <f ca="1">IF(M28="","",CHOOSE(MATCH(M28,IF($D28="男",INDIRECT(設定!AE74),INDIRECT(設定!AF74)),1),0,1,2,3,4,5,6,7,8,9,10))</f>
        <v/>
      </c>
      <c r="V28" s="47">
        <f t="shared" si="22"/>
        <v>0</v>
      </c>
      <c r="W28" s="48">
        <f t="shared" ca="1" si="23"/>
        <v>0</v>
      </c>
      <c r="X28" s="48" t="str">
        <f t="shared" si="12"/>
        <v>-----</v>
      </c>
      <c r="Y28" s="22">
        <f t="shared" ca="1" si="24"/>
        <v>0</v>
      </c>
      <c r="Z28" s="22">
        <f t="shared" ca="1" si="25"/>
        <v>0</v>
      </c>
      <c r="AA28" s="54" t="str">
        <f ca="1">IF(V28=8,CHOOSE(MATCH(W28,INDIRECT(設定!AG74),1),1,2,3,4,5),"-----")</f>
        <v>-----</v>
      </c>
      <c r="AB28" s="79" t="str">
        <f t="shared" si="13"/>
        <v>A025</v>
      </c>
      <c r="AC28" s="100"/>
      <c r="AD28" s="82"/>
      <c r="AE28" s="83"/>
      <c r="AF28" s="83"/>
      <c r="AG28" s="92"/>
      <c r="AH28" s="84"/>
      <c r="AI28" s="84"/>
      <c r="AJ28" s="85"/>
      <c r="AK28" s="85"/>
      <c r="AL28" s="95"/>
      <c r="AM28" s="83"/>
      <c r="AN28" s="86"/>
      <c r="AO28" s="86"/>
      <c r="AP28" s="87"/>
      <c r="AQ28" s="87"/>
      <c r="AR28" s="81" t="str">
        <f t="shared" si="0"/>
        <v>A025</v>
      </c>
      <c r="AS28" s="88"/>
      <c r="AT28" s="89"/>
      <c r="AU28">
        <f t="shared" si="1"/>
        <v>0</v>
      </c>
      <c r="AV28">
        <f t="shared" si="2"/>
        <v>0</v>
      </c>
      <c r="AW28" s="59">
        <f t="shared" si="14"/>
        <v>0</v>
      </c>
      <c r="AX28" s="8" t="str">
        <f t="shared" si="15"/>
        <v>0</v>
      </c>
      <c r="AY28">
        <f t="shared" si="16"/>
        <v>0</v>
      </c>
      <c r="AZ28">
        <f t="shared" si="17"/>
        <v>0</v>
      </c>
      <c r="BA28">
        <f t="shared" si="18"/>
        <v>0</v>
      </c>
      <c r="BB28">
        <f t="shared" si="19"/>
        <v>0</v>
      </c>
      <c r="BC28" s="59">
        <f t="shared" si="20"/>
        <v>0</v>
      </c>
      <c r="BD28" s="59" t="str">
        <f t="shared" si="21"/>
        <v/>
      </c>
    </row>
    <row r="29" spans="1:56" ht="18.600000000000001" customHeight="1" thickTop="1">
      <c r="A29" s="29">
        <v>26</v>
      </c>
      <c r="B29" s="36" t="s">
        <v>162</v>
      </c>
      <c r="C29" s="163"/>
      <c r="D29" s="164"/>
      <c r="E29" s="119">
        <f t="shared" si="3"/>
        <v>11</v>
      </c>
      <c r="F29" s="150" t="str">
        <f t="shared" si="4"/>
        <v/>
      </c>
      <c r="G29" s="99" t="str">
        <f t="shared" si="5"/>
        <v/>
      </c>
      <c r="H29" s="69" t="str">
        <f t="shared" si="6"/>
        <v/>
      </c>
      <c r="I29" s="62" t="str">
        <f t="shared" si="7"/>
        <v/>
      </c>
      <c r="J29" s="97" t="str">
        <f t="shared" si="8"/>
        <v/>
      </c>
      <c r="K29" s="98" t="str">
        <f t="shared" si="9"/>
        <v/>
      </c>
      <c r="L29" s="63" t="str">
        <f t="shared" si="10"/>
        <v/>
      </c>
      <c r="M29" s="65" t="str">
        <f t="shared" si="11"/>
        <v/>
      </c>
      <c r="N29" s="32" t="str">
        <f ca="1">IF(F29="","",CHOOSE(MATCH($F29,IF($D29="男",INDIRECT(設定!Q75),INDIRECT(設定!R75)),1),0,1,2,3,4,5,6,7,8,9,10))</f>
        <v/>
      </c>
      <c r="O29" s="33" t="str">
        <f ca="1">IF(G29="","",CHOOSE(MATCH(G29,IF($D29="男",INDIRECT(設定!S75),INDIRECT(設定!T75)),1),0,1,2,3,4,5,6,7,8,9,10))</f>
        <v/>
      </c>
      <c r="P29" s="33" t="str">
        <f ca="1">IF(H29="","",CHOOSE(MATCH(H29,IF($D29="男",INDIRECT(設定!U75),INDIRECT(設定!V75)),1),0,1,2,3,4,5,6,7,8,9,10))</f>
        <v/>
      </c>
      <c r="Q29" s="33" t="str">
        <f ca="1">IF(I29="","",CHOOSE(MATCH(I29,IF($D29="男",INDIRECT(設定!W75),INDIRECT(設定!X75)),1),0,1,2,3,4,5,6,7,8,9,10))</f>
        <v/>
      </c>
      <c r="R29" s="33" t="str">
        <f ca="1">IF(J29="","",CHOOSE(MATCH(J29,IF($D29="男",INDIRECT(設定!Y75),INDIRECT(設定!Z75)),1),0,1,2,3,4,5,6,7,8,9,10))</f>
        <v/>
      </c>
      <c r="S29" s="33" t="str">
        <f ca="1">IF(K29="","",CHOOSE(MATCH(K29,IF($D29="男",INDIRECT(設定!AA75),INDIRECT(設定!AB75)),1),10,9,8,7,6,5,4,3,2,1,0))</f>
        <v/>
      </c>
      <c r="T29" s="33" t="str">
        <f ca="1">IF(L29="","",CHOOSE(MATCH(L29,IF($D29="男",INDIRECT(設定!AC75),INDIRECT(設定!AD75)),1),0,1,2,3,4,5,6,7,8,9,10))</f>
        <v/>
      </c>
      <c r="U29" s="45" t="str">
        <f ca="1">IF(M29="","",CHOOSE(MATCH(M29,IF($D29="男",INDIRECT(設定!AE75),INDIRECT(設定!AF75)),1),0,1,2,3,4,5,6,7,8,9,10))</f>
        <v/>
      </c>
      <c r="V29" s="32">
        <f t="shared" si="22"/>
        <v>0</v>
      </c>
      <c r="W29" s="33">
        <f t="shared" ca="1" si="23"/>
        <v>0</v>
      </c>
      <c r="X29" s="33" t="str">
        <f t="shared" si="12"/>
        <v>-----</v>
      </c>
      <c r="Y29" s="22">
        <f t="shared" ca="1" si="24"/>
        <v>0</v>
      </c>
      <c r="Z29" s="22">
        <f t="shared" ca="1" si="25"/>
        <v>0</v>
      </c>
      <c r="AA29" s="54" t="str">
        <f ca="1">IF(V29=8,CHOOSE(MATCH(W29,INDIRECT(設定!AG75),1),1,2,3,4,5),"-----")</f>
        <v>-----</v>
      </c>
      <c r="AB29" s="79" t="str">
        <f t="shared" si="13"/>
        <v>A026</v>
      </c>
      <c r="AC29" s="100"/>
      <c r="AD29" s="82"/>
      <c r="AE29" s="83"/>
      <c r="AF29" s="83"/>
      <c r="AG29" s="92"/>
      <c r="AH29" s="84"/>
      <c r="AI29" s="84"/>
      <c r="AJ29" s="85"/>
      <c r="AK29" s="85"/>
      <c r="AL29" s="95"/>
      <c r="AM29" s="83"/>
      <c r="AN29" s="86"/>
      <c r="AO29" s="86"/>
      <c r="AP29" s="87"/>
      <c r="AQ29" s="87"/>
      <c r="AR29" s="81" t="str">
        <f t="shared" si="0"/>
        <v>A026</v>
      </c>
      <c r="AS29" s="88"/>
      <c r="AT29" s="89"/>
      <c r="AU29">
        <f t="shared" si="1"/>
        <v>0</v>
      </c>
      <c r="AV29">
        <f t="shared" si="2"/>
        <v>0</v>
      </c>
      <c r="AW29" s="59">
        <f t="shared" si="14"/>
        <v>0</v>
      </c>
      <c r="AX29" s="8" t="str">
        <f t="shared" si="15"/>
        <v>0</v>
      </c>
      <c r="AY29">
        <f t="shared" si="16"/>
        <v>0</v>
      </c>
      <c r="AZ29">
        <f t="shared" si="17"/>
        <v>0</v>
      </c>
      <c r="BA29">
        <f t="shared" si="18"/>
        <v>0</v>
      </c>
      <c r="BB29">
        <f t="shared" si="19"/>
        <v>0</v>
      </c>
      <c r="BC29" s="59">
        <f t="shared" si="20"/>
        <v>0</v>
      </c>
      <c r="BD29" s="59" t="str">
        <f t="shared" si="21"/>
        <v/>
      </c>
    </row>
    <row r="30" spans="1:56" ht="18.600000000000001" customHeight="1">
      <c r="A30" s="35">
        <v>27</v>
      </c>
      <c r="B30" s="36" t="s">
        <v>163</v>
      </c>
      <c r="C30" s="163"/>
      <c r="D30" s="164"/>
      <c r="E30" s="117">
        <f t="shared" si="3"/>
        <v>11</v>
      </c>
      <c r="F30" s="146" t="str">
        <f t="shared" si="4"/>
        <v/>
      </c>
      <c r="G30" s="120" t="str">
        <f t="shared" si="5"/>
        <v/>
      </c>
      <c r="H30" s="67" t="str">
        <f t="shared" si="6"/>
        <v/>
      </c>
      <c r="I30" s="68" t="str">
        <f t="shared" si="7"/>
        <v/>
      </c>
      <c r="J30" s="121" t="str">
        <f t="shared" si="8"/>
        <v/>
      </c>
      <c r="K30" s="122" t="str">
        <f t="shared" si="9"/>
        <v/>
      </c>
      <c r="L30" s="123" t="str">
        <f t="shared" si="10"/>
        <v/>
      </c>
      <c r="M30" s="135" t="str">
        <f t="shared" si="11"/>
        <v/>
      </c>
      <c r="N30" s="32" t="str">
        <f ca="1">IF(F30="","",CHOOSE(MATCH($F30,IF($D30="男",INDIRECT(設定!Q76),INDIRECT(設定!R76)),1),0,1,2,3,4,5,6,7,8,9,10))</f>
        <v/>
      </c>
      <c r="O30" s="33" t="str">
        <f ca="1">IF(G30="","",CHOOSE(MATCH(G30,IF($D30="男",INDIRECT(設定!S76),INDIRECT(設定!T76)),1),0,1,2,3,4,5,6,7,8,9,10))</f>
        <v/>
      </c>
      <c r="P30" s="33" t="str">
        <f ca="1">IF(H30="","",CHOOSE(MATCH(H30,IF($D30="男",INDIRECT(設定!U76),INDIRECT(設定!V76)),1),0,1,2,3,4,5,6,7,8,9,10))</f>
        <v/>
      </c>
      <c r="Q30" s="33" t="str">
        <f ca="1">IF(I30="","",CHOOSE(MATCH(I30,IF($D30="男",INDIRECT(設定!W76),INDIRECT(設定!X76)),1),0,1,2,3,4,5,6,7,8,9,10))</f>
        <v/>
      </c>
      <c r="R30" s="33" t="str">
        <f ca="1">IF(J30="","",CHOOSE(MATCH(J30,IF($D30="男",INDIRECT(設定!Y76),INDIRECT(設定!Z76)),1),0,1,2,3,4,5,6,7,8,9,10))</f>
        <v/>
      </c>
      <c r="S30" s="33" t="str">
        <f ca="1">IF(K30="","",CHOOSE(MATCH(K30,IF($D30="男",INDIRECT(設定!AA76),INDIRECT(設定!AB76)),1),10,9,8,7,6,5,4,3,2,1,0))</f>
        <v/>
      </c>
      <c r="T30" s="33" t="str">
        <f ca="1">IF(L30="","",CHOOSE(MATCH(L30,IF($D30="男",INDIRECT(設定!AC76),INDIRECT(設定!AD76)),1),0,1,2,3,4,5,6,7,8,9,10))</f>
        <v/>
      </c>
      <c r="U30" s="38" t="str">
        <f ca="1">IF(M30="","",CHOOSE(MATCH(M30,IF($D30="男",INDIRECT(設定!AE76),INDIRECT(設定!AF76)),1),0,1,2,3,4,5,6,7,8,9,10))</f>
        <v/>
      </c>
      <c r="V30" s="32">
        <f t="shared" si="22"/>
        <v>0</v>
      </c>
      <c r="W30" s="33">
        <f t="shared" ca="1" si="23"/>
        <v>0</v>
      </c>
      <c r="X30" s="33" t="str">
        <f t="shared" si="12"/>
        <v>-----</v>
      </c>
      <c r="Y30" s="22">
        <f t="shared" ca="1" si="24"/>
        <v>0</v>
      </c>
      <c r="Z30" s="22">
        <f t="shared" ca="1" si="25"/>
        <v>0</v>
      </c>
      <c r="AA30" s="54" t="str">
        <f ca="1">IF(V30=8,CHOOSE(MATCH(W30,INDIRECT(設定!AG76),1),1,2,3,4,5),"-----")</f>
        <v>-----</v>
      </c>
      <c r="AB30" s="79" t="str">
        <f t="shared" si="13"/>
        <v>A027</v>
      </c>
      <c r="AC30" s="100"/>
      <c r="AD30" s="82"/>
      <c r="AE30" s="83"/>
      <c r="AF30" s="83"/>
      <c r="AG30" s="92"/>
      <c r="AH30" s="84"/>
      <c r="AI30" s="84"/>
      <c r="AJ30" s="85"/>
      <c r="AK30" s="85"/>
      <c r="AL30" s="95"/>
      <c r="AM30" s="83"/>
      <c r="AN30" s="86"/>
      <c r="AO30" s="86"/>
      <c r="AP30" s="87"/>
      <c r="AQ30" s="87"/>
      <c r="AR30" s="81" t="str">
        <f t="shared" si="0"/>
        <v>A027</v>
      </c>
      <c r="AS30" s="88"/>
      <c r="AT30" s="89"/>
      <c r="AU30">
        <f t="shared" si="1"/>
        <v>0</v>
      </c>
      <c r="AV30">
        <f t="shared" si="2"/>
        <v>0</v>
      </c>
      <c r="AW30" s="59">
        <f t="shared" si="14"/>
        <v>0</v>
      </c>
      <c r="AX30" s="8" t="str">
        <f t="shared" si="15"/>
        <v>0</v>
      </c>
      <c r="AY30">
        <f t="shared" si="16"/>
        <v>0</v>
      </c>
      <c r="AZ30">
        <f t="shared" si="17"/>
        <v>0</v>
      </c>
      <c r="BA30">
        <f t="shared" si="18"/>
        <v>0</v>
      </c>
      <c r="BB30">
        <f t="shared" si="19"/>
        <v>0</v>
      </c>
      <c r="BC30" s="59">
        <f t="shared" si="20"/>
        <v>0</v>
      </c>
      <c r="BD30" s="59" t="str">
        <f t="shared" si="21"/>
        <v/>
      </c>
    </row>
    <row r="31" spans="1:56" ht="18.600000000000001" customHeight="1">
      <c r="A31" s="35">
        <v>28</v>
      </c>
      <c r="B31" s="36" t="s">
        <v>164</v>
      </c>
      <c r="C31" s="163"/>
      <c r="D31" s="164"/>
      <c r="E31" s="117">
        <f t="shared" si="3"/>
        <v>11</v>
      </c>
      <c r="F31" s="146" t="str">
        <f t="shared" si="4"/>
        <v/>
      </c>
      <c r="G31" s="120" t="str">
        <f t="shared" si="5"/>
        <v/>
      </c>
      <c r="H31" s="67" t="str">
        <f t="shared" si="6"/>
        <v/>
      </c>
      <c r="I31" s="68" t="str">
        <f t="shared" si="7"/>
        <v/>
      </c>
      <c r="J31" s="121" t="str">
        <f t="shared" si="8"/>
        <v/>
      </c>
      <c r="K31" s="122" t="str">
        <f t="shared" si="9"/>
        <v/>
      </c>
      <c r="L31" s="123" t="str">
        <f t="shared" si="10"/>
        <v/>
      </c>
      <c r="M31" s="135" t="str">
        <f t="shared" si="11"/>
        <v/>
      </c>
      <c r="N31" s="32" t="str">
        <f ca="1">IF(F31="","",CHOOSE(MATCH($F31,IF($D31="男",INDIRECT(設定!Q77),INDIRECT(設定!R77)),1),0,1,2,3,4,5,6,7,8,9,10))</f>
        <v/>
      </c>
      <c r="O31" s="33" t="str">
        <f ca="1">IF(G31="","",CHOOSE(MATCH(G31,IF($D31="男",INDIRECT(設定!S77),INDIRECT(設定!T77)),1),0,1,2,3,4,5,6,7,8,9,10))</f>
        <v/>
      </c>
      <c r="P31" s="33" t="str">
        <f ca="1">IF(H31="","",CHOOSE(MATCH(H31,IF($D31="男",INDIRECT(設定!U77),INDIRECT(設定!V77)),1),0,1,2,3,4,5,6,7,8,9,10))</f>
        <v/>
      </c>
      <c r="Q31" s="33" t="str">
        <f ca="1">IF(I31="","",CHOOSE(MATCH(I31,IF($D31="男",INDIRECT(設定!W77),INDIRECT(設定!X77)),1),0,1,2,3,4,5,6,7,8,9,10))</f>
        <v/>
      </c>
      <c r="R31" s="33" t="str">
        <f ca="1">IF(J31="","",CHOOSE(MATCH(J31,IF($D31="男",INDIRECT(設定!Y77),INDIRECT(設定!Z77)),1),0,1,2,3,4,5,6,7,8,9,10))</f>
        <v/>
      </c>
      <c r="S31" s="33" t="str">
        <f ca="1">IF(K31="","",CHOOSE(MATCH(K31,IF($D31="男",INDIRECT(設定!AA77),INDIRECT(設定!AB77)),1),10,9,8,7,6,5,4,3,2,1,0))</f>
        <v/>
      </c>
      <c r="T31" s="33" t="str">
        <f ca="1">IF(L31="","",CHOOSE(MATCH(L31,IF($D31="男",INDIRECT(設定!AC77),INDIRECT(設定!AD77)),1),0,1,2,3,4,5,6,7,8,9,10))</f>
        <v/>
      </c>
      <c r="U31" s="38" t="str">
        <f ca="1">IF(M31="","",CHOOSE(MATCH(M31,IF($D31="男",INDIRECT(設定!AE77),INDIRECT(設定!AF77)),1),0,1,2,3,4,5,6,7,8,9,10))</f>
        <v/>
      </c>
      <c r="V31" s="32">
        <f t="shared" si="22"/>
        <v>0</v>
      </c>
      <c r="W31" s="33">
        <f t="shared" ca="1" si="23"/>
        <v>0</v>
      </c>
      <c r="X31" s="33" t="str">
        <f t="shared" si="12"/>
        <v>-----</v>
      </c>
      <c r="Y31" s="22">
        <f t="shared" ca="1" si="24"/>
        <v>0</v>
      </c>
      <c r="Z31" s="22">
        <f t="shared" ca="1" si="25"/>
        <v>0</v>
      </c>
      <c r="AA31" s="54" t="str">
        <f ca="1">IF(V31=8,CHOOSE(MATCH(W31,INDIRECT(設定!AG77),1),1,2,3,4,5),"-----")</f>
        <v>-----</v>
      </c>
      <c r="AB31" s="79" t="str">
        <f t="shared" si="13"/>
        <v>A028</v>
      </c>
      <c r="AC31" s="100"/>
      <c r="AD31" s="82"/>
      <c r="AE31" s="83"/>
      <c r="AF31" s="83"/>
      <c r="AG31" s="92"/>
      <c r="AH31" s="84"/>
      <c r="AI31" s="84"/>
      <c r="AJ31" s="85"/>
      <c r="AK31" s="85"/>
      <c r="AL31" s="95"/>
      <c r="AM31" s="83"/>
      <c r="AN31" s="86"/>
      <c r="AO31" s="86"/>
      <c r="AP31" s="87"/>
      <c r="AQ31" s="87"/>
      <c r="AR31" s="81" t="str">
        <f t="shared" si="0"/>
        <v>A028</v>
      </c>
      <c r="AS31" s="88"/>
      <c r="AT31" s="89"/>
      <c r="AU31">
        <f t="shared" si="1"/>
        <v>0</v>
      </c>
      <c r="AV31">
        <f t="shared" si="2"/>
        <v>0</v>
      </c>
      <c r="AW31" s="59">
        <f t="shared" si="14"/>
        <v>0</v>
      </c>
      <c r="AX31" s="8" t="str">
        <f t="shared" si="15"/>
        <v>0</v>
      </c>
      <c r="AY31">
        <f t="shared" si="16"/>
        <v>0</v>
      </c>
      <c r="AZ31">
        <f t="shared" si="17"/>
        <v>0</v>
      </c>
      <c r="BA31">
        <f t="shared" si="18"/>
        <v>0</v>
      </c>
      <c r="BB31">
        <f t="shared" si="19"/>
        <v>0</v>
      </c>
      <c r="BC31" s="59">
        <f t="shared" si="20"/>
        <v>0</v>
      </c>
      <c r="BD31" s="59" t="str">
        <f t="shared" si="21"/>
        <v/>
      </c>
    </row>
    <row r="32" spans="1:56" ht="18.600000000000001" customHeight="1">
      <c r="A32" s="35">
        <v>29</v>
      </c>
      <c r="B32" s="36" t="s">
        <v>115</v>
      </c>
      <c r="C32" s="36"/>
      <c r="D32" s="37"/>
      <c r="E32" s="117">
        <f t="shared" si="3"/>
        <v>11</v>
      </c>
      <c r="F32" s="146" t="str">
        <f t="shared" si="4"/>
        <v/>
      </c>
      <c r="G32" s="120" t="str">
        <f t="shared" si="5"/>
        <v/>
      </c>
      <c r="H32" s="67" t="str">
        <f t="shared" si="6"/>
        <v/>
      </c>
      <c r="I32" s="68" t="str">
        <f t="shared" si="7"/>
        <v/>
      </c>
      <c r="J32" s="121" t="str">
        <f t="shared" si="8"/>
        <v/>
      </c>
      <c r="K32" s="122" t="str">
        <f t="shared" si="9"/>
        <v/>
      </c>
      <c r="L32" s="123" t="str">
        <f t="shared" si="10"/>
        <v/>
      </c>
      <c r="M32" s="135" t="str">
        <f t="shared" si="11"/>
        <v/>
      </c>
      <c r="N32" s="32" t="str">
        <f ca="1">IF(F32="","",CHOOSE(MATCH($F32,IF($D32="男",INDIRECT(設定!Q78),INDIRECT(設定!R78)),1),0,1,2,3,4,5,6,7,8,9,10))</f>
        <v/>
      </c>
      <c r="O32" s="33" t="str">
        <f ca="1">IF(G32="","",CHOOSE(MATCH(G32,IF($D32="男",INDIRECT(設定!S78),INDIRECT(設定!T78)),1),0,1,2,3,4,5,6,7,8,9,10))</f>
        <v/>
      </c>
      <c r="P32" s="33" t="str">
        <f ca="1">IF(H32="","",CHOOSE(MATCH(H32,IF($D32="男",INDIRECT(設定!U78),INDIRECT(設定!V78)),1),0,1,2,3,4,5,6,7,8,9,10))</f>
        <v/>
      </c>
      <c r="Q32" s="33" t="str">
        <f ca="1">IF(I32="","",CHOOSE(MATCH(I32,IF($D32="男",INDIRECT(設定!W78),INDIRECT(設定!X78)),1),0,1,2,3,4,5,6,7,8,9,10))</f>
        <v/>
      </c>
      <c r="R32" s="33" t="str">
        <f ca="1">IF(J32="","",CHOOSE(MATCH(J32,IF($D32="男",INDIRECT(設定!Y78),INDIRECT(設定!Z78)),1),0,1,2,3,4,5,6,7,8,9,10))</f>
        <v/>
      </c>
      <c r="S32" s="33" t="str">
        <f ca="1">IF(K32="","",CHOOSE(MATCH(K32,IF($D32="男",INDIRECT(設定!AA78),INDIRECT(設定!AB78)),1),10,9,8,7,6,5,4,3,2,1,0))</f>
        <v/>
      </c>
      <c r="T32" s="33" t="str">
        <f ca="1">IF(L32="","",CHOOSE(MATCH(L32,IF($D32="男",INDIRECT(設定!AC78),INDIRECT(設定!AD78)),1),0,1,2,3,4,5,6,7,8,9,10))</f>
        <v/>
      </c>
      <c r="U32" s="38" t="str">
        <f ca="1">IF(M32="","",CHOOSE(MATCH(M32,IF($D32="男",INDIRECT(設定!AE78),INDIRECT(設定!AF78)),1),0,1,2,3,4,5,6,7,8,9,10))</f>
        <v/>
      </c>
      <c r="V32" s="32">
        <f>IF(B32="","",COUNT(F32:M32))</f>
        <v>0</v>
      </c>
      <c r="W32" s="33">
        <f ca="1">IF(B32="","",SUM(N32:U32))</f>
        <v>0</v>
      </c>
      <c r="X32" s="33" t="str">
        <f t="shared" si="12"/>
        <v>-----</v>
      </c>
      <c r="Y32" s="22">
        <f t="shared" ca="1" si="24"/>
        <v>0</v>
      </c>
      <c r="Z32" s="22">
        <f t="shared" ca="1" si="25"/>
        <v>0</v>
      </c>
      <c r="AA32" s="54" t="str">
        <f ca="1">IF(V32=8,CHOOSE(MATCH(W32,INDIRECT(設定!AG78),1),1,2,3,4,5),"-----")</f>
        <v>-----</v>
      </c>
      <c r="AB32" s="79" t="str">
        <f t="shared" si="13"/>
        <v>A029</v>
      </c>
      <c r="AC32" s="100"/>
      <c r="AD32" s="82"/>
      <c r="AE32" s="83"/>
      <c r="AF32" s="83"/>
      <c r="AG32" s="92"/>
      <c r="AH32" s="84"/>
      <c r="AI32" s="84"/>
      <c r="AJ32" s="85"/>
      <c r="AK32" s="85"/>
      <c r="AL32" s="95"/>
      <c r="AM32" s="83"/>
      <c r="AN32" s="86"/>
      <c r="AO32" s="86"/>
      <c r="AP32" s="87"/>
      <c r="AQ32" s="87"/>
      <c r="AR32" s="81" t="str">
        <f t="shared" si="0"/>
        <v>A029</v>
      </c>
      <c r="AS32" s="88"/>
      <c r="AT32" s="89"/>
      <c r="AU32">
        <f t="shared" si="1"/>
        <v>0</v>
      </c>
      <c r="AV32">
        <f t="shared" si="2"/>
        <v>0</v>
      </c>
      <c r="AW32" s="59">
        <f t="shared" si="14"/>
        <v>0</v>
      </c>
      <c r="AX32" s="8" t="str">
        <f t="shared" si="15"/>
        <v>0</v>
      </c>
      <c r="AY32">
        <f t="shared" si="16"/>
        <v>0</v>
      </c>
      <c r="AZ32">
        <f t="shared" si="17"/>
        <v>0</v>
      </c>
      <c r="BA32">
        <f t="shared" si="18"/>
        <v>0</v>
      </c>
      <c r="BB32">
        <f t="shared" si="19"/>
        <v>0</v>
      </c>
      <c r="BC32" s="59">
        <f t="shared" si="20"/>
        <v>0</v>
      </c>
      <c r="BD32" s="59" t="str">
        <f t="shared" si="21"/>
        <v/>
      </c>
    </row>
    <row r="33" spans="1:56" ht="18.600000000000001" customHeight="1" thickBot="1">
      <c r="A33" s="50">
        <v>30</v>
      </c>
      <c r="B33" s="36" t="s">
        <v>50</v>
      </c>
      <c r="C33" s="36"/>
      <c r="D33" s="37"/>
      <c r="E33" s="118">
        <f t="shared" si="3"/>
        <v>11</v>
      </c>
      <c r="F33" s="148" t="str">
        <f t="shared" si="4"/>
        <v/>
      </c>
      <c r="G33" s="136" t="str">
        <f t="shared" si="5"/>
        <v/>
      </c>
      <c r="H33" s="70" t="str">
        <f t="shared" si="6"/>
        <v/>
      </c>
      <c r="I33" s="71" t="str">
        <f t="shared" si="7"/>
        <v/>
      </c>
      <c r="J33" s="137" t="str">
        <f t="shared" si="8"/>
        <v/>
      </c>
      <c r="K33" s="138" t="str">
        <f t="shared" si="9"/>
        <v/>
      </c>
      <c r="L33" s="72" t="str">
        <f t="shared" si="10"/>
        <v/>
      </c>
      <c r="M33" s="73" t="str">
        <f t="shared" si="11"/>
        <v/>
      </c>
      <c r="N33" s="47" t="str">
        <f ca="1">IF(F33="","",CHOOSE(MATCH($F33,IF($D33="男",INDIRECT(設定!Q79),INDIRECT(設定!R79)),1),0,1,2,3,4,5,6,7,8,9,10))</f>
        <v/>
      </c>
      <c r="O33" s="48" t="str">
        <f ca="1">IF(G33="","",CHOOSE(MATCH(G33,IF($D33="男",INDIRECT(設定!S79),INDIRECT(設定!T79)),1),0,1,2,3,4,5,6,7,8,9,10))</f>
        <v/>
      </c>
      <c r="P33" s="48" t="str">
        <f ca="1">IF(H33="","",CHOOSE(MATCH(H33,IF($D33="男",INDIRECT(設定!U79),INDIRECT(設定!V79)),1),0,1,2,3,4,5,6,7,8,9,10))</f>
        <v/>
      </c>
      <c r="Q33" s="48" t="str">
        <f ca="1">IF(I33="","",CHOOSE(MATCH(I33,IF($D33="男",INDIRECT(設定!W79),INDIRECT(設定!X79)),1),0,1,2,3,4,5,6,7,8,9,10))</f>
        <v/>
      </c>
      <c r="R33" s="48" t="str">
        <f ca="1">IF(J33="","",CHOOSE(MATCH(J33,IF($D33="男",INDIRECT(設定!Y79),INDIRECT(設定!Z79)),1),0,1,2,3,4,5,6,7,8,9,10))</f>
        <v/>
      </c>
      <c r="S33" s="48" t="str">
        <f ca="1">IF(K33="","",CHOOSE(MATCH(K33,IF($D33="男",INDIRECT(設定!AA79),INDIRECT(設定!AB79)),1),10,9,8,7,6,5,4,3,2,1,0))</f>
        <v/>
      </c>
      <c r="T33" s="48" t="str">
        <f ca="1">IF(L33="","",CHOOSE(MATCH(L33,IF($D33="男",INDIRECT(設定!AC79),INDIRECT(設定!AD79)),1),0,1,2,3,4,5,6,7,8,9,10))</f>
        <v/>
      </c>
      <c r="U33" s="49" t="str">
        <f ca="1">IF(M33="","",CHOOSE(MATCH(M33,IF($D33="男",INDIRECT(設定!AE79),INDIRECT(設定!AF79)),1),0,1,2,3,4,5,6,7,8,9,10))</f>
        <v/>
      </c>
      <c r="V33" s="47">
        <f t="shared" si="22"/>
        <v>0</v>
      </c>
      <c r="W33" s="48">
        <f t="shared" ca="1" si="23"/>
        <v>0</v>
      </c>
      <c r="X33" s="48" t="str">
        <f t="shared" si="12"/>
        <v>-----</v>
      </c>
      <c r="Y33" s="22">
        <f t="shared" ca="1" si="24"/>
        <v>0</v>
      </c>
      <c r="Z33" s="22">
        <f t="shared" ca="1" si="25"/>
        <v>0</v>
      </c>
      <c r="AA33" s="54" t="str">
        <f ca="1">IF(V33=8,CHOOSE(MATCH(W33,INDIRECT(設定!AG79),1),1,2,3,4,5),"-----")</f>
        <v>-----</v>
      </c>
      <c r="AB33" s="79" t="str">
        <f t="shared" si="13"/>
        <v>A030</v>
      </c>
      <c r="AC33" s="100"/>
      <c r="AD33" s="82"/>
      <c r="AE33" s="83"/>
      <c r="AF33" s="83"/>
      <c r="AG33" s="92"/>
      <c r="AH33" s="84"/>
      <c r="AI33" s="84"/>
      <c r="AJ33" s="85"/>
      <c r="AK33" s="85"/>
      <c r="AL33" s="95"/>
      <c r="AM33" s="83"/>
      <c r="AN33" s="86"/>
      <c r="AO33" s="86"/>
      <c r="AP33" s="87"/>
      <c r="AQ33" s="87"/>
      <c r="AR33" s="81" t="str">
        <f t="shared" si="0"/>
        <v>A030</v>
      </c>
      <c r="AS33" s="88"/>
      <c r="AT33" s="89"/>
      <c r="AU33">
        <f t="shared" si="1"/>
        <v>0</v>
      </c>
      <c r="AV33">
        <f t="shared" si="2"/>
        <v>0</v>
      </c>
      <c r="AW33" s="59">
        <f t="shared" si="14"/>
        <v>0</v>
      </c>
      <c r="AX33" s="8" t="str">
        <f t="shared" si="15"/>
        <v>0</v>
      </c>
      <c r="AY33">
        <f t="shared" si="16"/>
        <v>0</v>
      </c>
      <c r="AZ33">
        <f t="shared" si="17"/>
        <v>0</v>
      </c>
      <c r="BA33">
        <f t="shared" si="18"/>
        <v>0</v>
      </c>
      <c r="BB33">
        <f t="shared" si="19"/>
        <v>0</v>
      </c>
      <c r="BC33" s="59">
        <f t="shared" si="20"/>
        <v>0</v>
      </c>
      <c r="BD33" s="59" t="str">
        <f t="shared" si="21"/>
        <v/>
      </c>
    </row>
    <row r="34" spans="1:56" ht="18.600000000000001" customHeight="1" thickTop="1">
      <c r="A34" s="51">
        <v>31</v>
      </c>
      <c r="B34" s="30" t="s">
        <v>51</v>
      </c>
      <c r="C34" s="30"/>
      <c r="D34" s="31"/>
      <c r="E34" s="119">
        <f t="shared" si="3"/>
        <v>11</v>
      </c>
      <c r="F34" s="147" t="str">
        <f t="shared" si="4"/>
        <v/>
      </c>
      <c r="G34" s="99" t="str">
        <f t="shared" si="5"/>
        <v/>
      </c>
      <c r="H34" s="69" t="str">
        <f t="shared" si="6"/>
        <v/>
      </c>
      <c r="I34" s="62" t="str">
        <f t="shared" si="7"/>
        <v/>
      </c>
      <c r="J34" s="97" t="str">
        <f t="shared" si="8"/>
        <v/>
      </c>
      <c r="K34" s="98" t="str">
        <f t="shared" si="9"/>
        <v/>
      </c>
      <c r="L34" s="63" t="str">
        <f t="shared" si="10"/>
        <v/>
      </c>
      <c r="M34" s="65" t="str">
        <f t="shared" si="11"/>
        <v/>
      </c>
      <c r="N34" s="32" t="str">
        <f ca="1">IF(F34="","",CHOOSE(MATCH($F34,IF($D34="男",INDIRECT(設定!Q80),INDIRECT(設定!R80)),1),0,1,2,3,4,5,6,7,8,9,10))</f>
        <v/>
      </c>
      <c r="O34" s="33" t="str">
        <f ca="1">IF(G34="","",CHOOSE(MATCH(G34,IF($D34="男",INDIRECT(設定!S80),INDIRECT(設定!T80)),1),0,1,2,3,4,5,6,7,8,9,10))</f>
        <v/>
      </c>
      <c r="P34" s="33" t="str">
        <f ca="1">IF(H34="","",CHOOSE(MATCH(H34,IF($D34="男",INDIRECT(設定!U80),INDIRECT(設定!V80)),1),0,1,2,3,4,5,6,7,8,9,10))</f>
        <v/>
      </c>
      <c r="Q34" s="33" t="str">
        <f ca="1">IF(I34="","",CHOOSE(MATCH(I34,IF($D34="男",INDIRECT(設定!W80),INDIRECT(設定!X80)),1),0,1,2,3,4,5,6,7,8,9,10))</f>
        <v/>
      </c>
      <c r="R34" s="33" t="str">
        <f ca="1">IF(J34="","",CHOOSE(MATCH(J34,IF($D34="男",INDIRECT(設定!Y80),INDIRECT(設定!Z80)),1),0,1,2,3,4,5,6,7,8,9,10))</f>
        <v/>
      </c>
      <c r="S34" s="33" t="str">
        <f ca="1">IF(K34="","",CHOOSE(MATCH(K34,IF($D34="男",INDIRECT(設定!AA80),INDIRECT(設定!AB80)),1),10,9,8,7,6,5,4,3,2,1,0))</f>
        <v/>
      </c>
      <c r="T34" s="33" t="str">
        <f ca="1">IF(L34="","",CHOOSE(MATCH(L34,IF($D34="男",INDIRECT(設定!AC80),INDIRECT(設定!AD80)),1),0,1,2,3,4,5,6,7,8,9,10))</f>
        <v/>
      </c>
      <c r="U34" s="45" t="str">
        <f ca="1">IF(M34="","",CHOOSE(MATCH(M34,IF($D34="男",INDIRECT(設定!AE80),INDIRECT(設定!AF80)),1),0,1,2,3,4,5,6,7,8,9,10))</f>
        <v/>
      </c>
      <c r="V34" s="32">
        <f t="shared" si="22"/>
        <v>0</v>
      </c>
      <c r="W34" s="33">
        <f t="shared" ca="1" si="23"/>
        <v>0</v>
      </c>
      <c r="X34" s="33" t="str">
        <f t="shared" si="12"/>
        <v>-----</v>
      </c>
      <c r="Y34" s="22">
        <f t="shared" ca="1" si="24"/>
        <v>0</v>
      </c>
      <c r="Z34" s="22">
        <f t="shared" ca="1" si="25"/>
        <v>0</v>
      </c>
      <c r="AA34" s="54" t="str">
        <f ca="1">IF(V34=8,CHOOSE(MATCH(W34,INDIRECT(設定!AG80),1),1,2,3,4,5),"-----")</f>
        <v>-----</v>
      </c>
      <c r="AB34" s="79" t="str">
        <f t="shared" si="13"/>
        <v>A031</v>
      </c>
      <c r="AC34" s="100"/>
      <c r="AD34" s="82"/>
      <c r="AE34" s="83"/>
      <c r="AF34" s="83"/>
      <c r="AG34" s="92"/>
      <c r="AH34" s="84"/>
      <c r="AI34" s="84"/>
      <c r="AJ34" s="85"/>
      <c r="AK34" s="85"/>
      <c r="AL34" s="95"/>
      <c r="AM34" s="83"/>
      <c r="AN34" s="86"/>
      <c r="AO34" s="86"/>
      <c r="AP34" s="87"/>
      <c r="AQ34" s="87"/>
      <c r="AR34" s="81" t="str">
        <f t="shared" si="0"/>
        <v>A031</v>
      </c>
      <c r="AS34" s="88"/>
      <c r="AT34" s="89"/>
      <c r="AU34">
        <f t="shared" si="1"/>
        <v>0</v>
      </c>
      <c r="AV34">
        <f t="shared" si="2"/>
        <v>0</v>
      </c>
      <c r="AW34" s="59">
        <f t="shared" si="14"/>
        <v>0</v>
      </c>
      <c r="AX34" s="8" t="str">
        <f t="shared" si="15"/>
        <v>0</v>
      </c>
      <c r="AY34">
        <f t="shared" si="16"/>
        <v>0</v>
      </c>
      <c r="AZ34">
        <f t="shared" si="17"/>
        <v>0</v>
      </c>
      <c r="BA34">
        <f t="shared" si="18"/>
        <v>0</v>
      </c>
      <c r="BB34">
        <f t="shared" si="19"/>
        <v>0</v>
      </c>
      <c r="BC34" s="59">
        <f t="shared" si="20"/>
        <v>0</v>
      </c>
      <c r="BD34" s="59" t="str">
        <f t="shared" si="21"/>
        <v/>
      </c>
    </row>
    <row r="35" spans="1:56" ht="18.600000000000001" customHeight="1">
      <c r="A35" s="35">
        <v>32</v>
      </c>
      <c r="B35" s="36" t="s">
        <v>52</v>
      </c>
      <c r="C35" s="36"/>
      <c r="D35" s="37"/>
      <c r="E35" s="117">
        <f t="shared" si="3"/>
        <v>11</v>
      </c>
      <c r="F35" s="146" t="str">
        <f t="shared" si="4"/>
        <v/>
      </c>
      <c r="G35" s="120" t="str">
        <f t="shared" si="5"/>
        <v/>
      </c>
      <c r="H35" s="67" t="str">
        <f t="shared" si="6"/>
        <v/>
      </c>
      <c r="I35" s="68" t="str">
        <f t="shared" si="7"/>
        <v/>
      </c>
      <c r="J35" s="121" t="str">
        <f t="shared" si="8"/>
        <v/>
      </c>
      <c r="K35" s="122" t="str">
        <f t="shared" si="9"/>
        <v/>
      </c>
      <c r="L35" s="123" t="str">
        <f t="shared" si="10"/>
        <v/>
      </c>
      <c r="M35" s="135" t="str">
        <f t="shared" si="11"/>
        <v/>
      </c>
      <c r="N35" s="32" t="str">
        <f ca="1">IF(F35="","",CHOOSE(MATCH($F35,IF($D35="男",INDIRECT(設定!Q81),INDIRECT(設定!R81)),1),0,1,2,3,4,5,6,7,8,9,10))</f>
        <v/>
      </c>
      <c r="O35" s="33" t="str">
        <f ca="1">IF(G35="","",CHOOSE(MATCH(G35,IF($D35="男",INDIRECT(設定!S81),INDIRECT(設定!T81)),1),0,1,2,3,4,5,6,7,8,9,10))</f>
        <v/>
      </c>
      <c r="P35" s="33" t="str">
        <f ca="1">IF(H35="","",CHOOSE(MATCH(H35,IF($D35="男",INDIRECT(設定!U81),INDIRECT(設定!V81)),1),0,1,2,3,4,5,6,7,8,9,10))</f>
        <v/>
      </c>
      <c r="Q35" s="33" t="str">
        <f ca="1">IF(I35="","",CHOOSE(MATCH(I35,IF($D35="男",INDIRECT(設定!W81),INDIRECT(設定!X81)),1),0,1,2,3,4,5,6,7,8,9,10))</f>
        <v/>
      </c>
      <c r="R35" s="33" t="str">
        <f ca="1">IF(J35="","",CHOOSE(MATCH(J35,IF($D35="男",INDIRECT(設定!Y81),INDIRECT(設定!Z81)),1),0,1,2,3,4,5,6,7,8,9,10))</f>
        <v/>
      </c>
      <c r="S35" s="33" t="str">
        <f ca="1">IF(K35="","",CHOOSE(MATCH(K35,IF($D35="男",INDIRECT(設定!AA81),INDIRECT(設定!AB81)),1),10,9,8,7,6,5,4,3,2,1,0))</f>
        <v/>
      </c>
      <c r="T35" s="33" t="str">
        <f ca="1">IF(L35="","",CHOOSE(MATCH(L35,IF($D35="男",INDIRECT(設定!AC81),INDIRECT(設定!AD81)),1),0,1,2,3,4,5,6,7,8,9,10))</f>
        <v/>
      </c>
      <c r="U35" s="38" t="str">
        <f ca="1">IF(M35="","",CHOOSE(MATCH(M35,IF($D35="男",INDIRECT(設定!AE81),INDIRECT(設定!AF81)),1),0,1,2,3,4,5,6,7,8,9,10))</f>
        <v/>
      </c>
      <c r="V35" s="32">
        <f t="shared" si="22"/>
        <v>0</v>
      </c>
      <c r="W35" s="33">
        <f t="shared" ca="1" si="23"/>
        <v>0</v>
      </c>
      <c r="X35" s="33" t="str">
        <f t="shared" si="12"/>
        <v>-----</v>
      </c>
      <c r="Y35" s="22">
        <f t="shared" ca="1" si="24"/>
        <v>0</v>
      </c>
      <c r="Z35" s="22">
        <f t="shared" ca="1" si="25"/>
        <v>0</v>
      </c>
      <c r="AA35" s="54" t="str">
        <f ca="1">IF(V35=8,CHOOSE(MATCH(W35,INDIRECT(設定!AG81),1),1,2,3,4,5),"-----")</f>
        <v>-----</v>
      </c>
      <c r="AB35" s="79" t="str">
        <f t="shared" si="13"/>
        <v>A032</v>
      </c>
      <c r="AC35" s="100"/>
      <c r="AD35" s="82"/>
      <c r="AE35" s="83"/>
      <c r="AF35" s="83"/>
      <c r="AG35" s="92"/>
      <c r="AH35" s="84"/>
      <c r="AI35" s="84"/>
      <c r="AJ35" s="85"/>
      <c r="AK35" s="85"/>
      <c r="AL35" s="95"/>
      <c r="AM35" s="83"/>
      <c r="AN35" s="86"/>
      <c r="AO35" s="86"/>
      <c r="AP35" s="87"/>
      <c r="AQ35" s="87"/>
      <c r="AR35" s="81" t="str">
        <f t="shared" si="0"/>
        <v>A032</v>
      </c>
      <c r="AS35" s="88"/>
      <c r="AT35" s="89"/>
      <c r="AU35">
        <f t="shared" si="1"/>
        <v>0</v>
      </c>
      <c r="AV35">
        <f t="shared" si="2"/>
        <v>0</v>
      </c>
      <c r="AW35" s="59">
        <f t="shared" si="14"/>
        <v>0</v>
      </c>
      <c r="AX35" s="8" t="str">
        <f t="shared" si="15"/>
        <v>0</v>
      </c>
      <c r="AY35">
        <f t="shared" si="16"/>
        <v>0</v>
      </c>
      <c r="AZ35">
        <f t="shared" si="17"/>
        <v>0</v>
      </c>
      <c r="BA35">
        <f t="shared" si="18"/>
        <v>0</v>
      </c>
      <c r="BB35">
        <f t="shared" si="19"/>
        <v>0</v>
      </c>
      <c r="BC35" s="59">
        <f t="shared" si="20"/>
        <v>0</v>
      </c>
      <c r="BD35" s="59" t="str">
        <f t="shared" si="21"/>
        <v/>
      </c>
    </row>
    <row r="36" spans="1:56" ht="18.600000000000001" customHeight="1">
      <c r="A36" s="35">
        <v>33</v>
      </c>
      <c r="B36" s="36" t="s">
        <v>53</v>
      </c>
      <c r="C36" s="36"/>
      <c r="D36" s="37"/>
      <c r="E36" s="117">
        <f t="shared" si="3"/>
        <v>11</v>
      </c>
      <c r="F36" s="146" t="str">
        <f t="shared" si="4"/>
        <v/>
      </c>
      <c r="G36" s="120" t="str">
        <f t="shared" si="5"/>
        <v/>
      </c>
      <c r="H36" s="67" t="str">
        <f t="shared" si="6"/>
        <v/>
      </c>
      <c r="I36" s="68" t="str">
        <f t="shared" si="7"/>
        <v/>
      </c>
      <c r="J36" s="121" t="str">
        <f t="shared" si="8"/>
        <v/>
      </c>
      <c r="K36" s="122" t="str">
        <f t="shared" si="9"/>
        <v/>
      </c>
      <c r="L36" s="123" t="str">
        <f t="shared" si="10"/>
        <v/>
      </c>
      <c r="M36" s="135" t="str">
        <f t="shared" si="11"/>
        <v/>
      </c>
      <c r="N36" s="32" t="str">
        <f ca="1">IF(F36="","",CHOOSE(MATCH($F36,IF($D36="男",INDIRECT(設定!Q82),INDIRECT(設定!R82)),1),0,1,2,3,4,5,6,7,8,9,10))</f>
        <v/>
      </c>
      <c r="O36" s="33" t="str">
        <f ca="1">IF(G36="","",CHOOSE(MATCH(G36,IF($D36="男",INDIRECT(設定!S82),INDIRECT(設定!T82)),1),0,1,2,3,4,5,6,7,8,9,10))</f>
        <v/>
      </c>
      <c r="P36" s="33" t="str">
        <f ca="1">IF(H36="","",CHOOSE(MATCH(H36,IF($D36="男",INDIRECT(設定!U82),INDIRECT(設定!V82)),1),0,1,2,3,4,5,6,7,8,9,10))</f>
        <v/>
      </c>
      <c r="Q36" s="33" t="str">
        <f ca="1">IF(I36="","",CHOOSE(MATCH(I36,IF($D36="男",INDIRECT(設定!W82),INDIRECT(設定!X82)),1),0,1,2,3,4,5,6,7,8,9,10))</f>
        <v/>
      </c>
      <c r="R36" s="33" t="str">
        <f ca="1">IF(J36="","",CHOOSE(MATCH(J36,IF($D36="男",INDIRECT(設定!Y82),INDIRECT(設定!Z82)),1),0,1,2,3,4,5,6,7,8,9,10))</f>
        <v/>
      </c>
      <c r="S36" s="33" t="str">
        <f ca="1">IF(K36="","",CHOOSE(MATCH(K36,IF($D36="男",INDIRECT(設定!AA82),INDIRECT(設定!AB82)),1),10,9,8,7,6,5,4,3,2,1,0))</f>
        <v/>
      </c>
      <c r="T36" s="33" t="str">
        <f ca="1">IF(L36="","",CHOOSE(MATCH(L36,IF($D36="男",INDIRECT(設定!AC82),INDIRECT(設定!AD82)),1),0,1,2,3,4,5,6,7,8,9,10))</f>
        <v/>
      </c>
      <c r="U36" s="38" t="str">
        <f ca="1">IF(M36="","",CHOOSE(MATCH(M36,IF($D36="男",INDIRECT(設定!AE82),INDIRECT(設定!AF82)),1),0,1,2,3,4,5,6,7,8,9,10))</f>
        <v/>
      </c>
      <c r="V36" s="32">
        <f t="shared" si="22"/>
        <v>0</v>
      </c>
      <c r="W36" s="33">
        <f t="shared" ca="1" si="23"/>
        <v>0</v>
      </c>
      <c r="X36" s="33" t="str">
        <f t="shared" si="12"/>
        <v>-----</v>
      </c>
      <c r="Y36" s="22">
        <f t="shared" ref="Y36:Y43" ca="1" si="26">IF(B36="","",MIN(N36:R36))</f>
        <v>0</v>
      </c>
      <c r="Z36" s="22">
        <f t="shared" ref="Z36:Z43" ca="1" si="27">IF(B36="","",MAX(N36:R36))</f>
        <v>0</v>
      </c>
      <c r="AA36" s="54" t="str">
        <f ca="1">IF(V36=8,CHOOSE(MATCH(W36,INDIRECT(設定!AG82),1),1,2,3,4,5),"-----")</f>
        <v>-----</v>
      </c>
      <c r="AB36" s="79" t="str">
        <f t="shared" si="13"/>
        <v>A033</v>
      </c>
      <c r="AC36" s="100"/>
      <c r="AD36" s="82"/>
      <c r="AE36" s="83"/>
      <c r="AF36" s="83"/>
      <c r="AG36" s="92"/>
      <c r="AH36" s="84"/>
      <c r="AI36" s="84"/>
      <c r="AJ36" s="85"/>
      <c r="AK36" s="85"/>
      <c r="AL36" s="95"/>
      <c r="AM36" s="83"/>
      <c r="AN36" s="86"/>
      <c r="AO36" s="86"/>
      <c r="AP36" s="87"/>
      <c r="AQ36" s="87"/>
      <c r="AR36" s="81" t="str">
        <f t="shared" si="0"/>
        <v>A033</v>
      </c>
      <c r="AS36" s="88"/>
      <c r="AT36" s="89"/>
      <c r="AU36">
        <f t="shared" si="1"/>
        <v>0</v>
      </c>
      <c r="AV36">
        <f t="shared" si="2"/>
        <v>0</v>
      </c>
      <c r="AW36" s="59">
        <f t="shared" si="14"/>
        <v>0</v>
      </c>
      <c r="AX36" s="8" t="str">
        <f t="shared" si="15"/>
        <v>0</v>
      </c>
      <c r="AY36">
        <f t="shared" si="16"/>
        <v>0</v>
      </c>
      <c r="AZ36">
        <f t="shared" si="17"/>
        <v>0</v>
      </c>
      <c r="BA36">
        <f t="shared" si="18"/>
        <v>0</v>
      </c>
      <c r="BB36">
        <f t="shared" si="19"/>
        <v>0</v>
      </c>
      <c r="BC36" s="59">
        <f t="shared" si="20"/>
        <v>0</v>
      </c>
      <c r="BD36" s="59" t="str">
        <f t="shared" si="21"/>
        <v/>
      </c>
    </row>
    <row r="37" spans="1:56" ht="18.600000000000001" customHeight="1">
      <c r="A37" s="35">
        <v>34</v>
      </c>
      <c r="B37" s="36" t="s">
        <v>54</v>
      </c>
      <c r="C37" s="36"/>
      <c r="D37" s="37"/>
      <c r="E37" s="117">
        <f t="shared" si="3"/>
        <v>11</v>
      </c>
      <c r="F37" s="146" t="str">
        <f t="shared" si="4"/>
        <v/>
      </c>
      <c r="G37" s="120" t="str">
        <f t="shared" si="5"/>
        <v/>
      </c>
      <c r="H37" s="67" t="str">
        <f t="shared" si="6"/>
        <v/>
      </c>
      <c r="I37" s="68" t="str">
        <f t="shared" si="7"/>
        <v/>
      </c>
      <c r="J37" s="121" t="str">
        <f t="shared" si="8"/>
        <v/>
      </c>
      <c r="K37" s="122" t="str">
        <f t="shared" si="9"/>
        <v/>
      </c>
      <c r="L37" s="123" t="str">
        <f t="shared" si="10"/>
        <v/>
      </c>
      <c r="M37" s="135" t="str">
        <f t="shared" si="11"/>
        <v/>
      </c>
      <c r="N37" s="32" t="str">
        <f ca="1">IF(F37="","",CHOOSE(MATCH($F37,IF($D37="男",INDIRECT(設定!Q83),INDIRECT(設定!R83)),1),0,1,2,3,4,5,6,7,8,9,10))</f>
        <v/>
      </c>
      <c r="O37" s="33" t="str">
        <f ca="1">IF(G37="","",CHOOSE(MATCH(G37,IF($D37="男",INDIRECT(設定!S83),INDIRECT(設定!T83)),1),0,1,2,3,4,5,6,7,8,9,10))</f>
        <v/>
      </c>
      <c r="P37" s="33" t="str">
        <f ca="1">IF(H37="","",CHOOSE(MATCH(H37,IF($D37="男",INDIRECT(設定!U83),INDIRECT(設定!V83)),1),0,1,2,3,4,5,6,7,8,9,10))</f>
        <v/>
      </c>
      <c r="Q37" s="33" t="str">
        <f ca="1">IF(I37="","",CHOOSE(MATCH(I37,IF($D37="男",INDIRECT(設定!W83),INDIRECT(設定!X83)),1),0,1,2,3,4,5,6,7,8,9,10))</f>
        <v/>
      </c>
      <c r="R37" s="33" t="str">
        <f ca="1">IF(J37="","",CHOOSE(MATCH(J37,IF($D37="男",INDIRECT(設定!Y83),INDIRECT(設定!Z83)),1),0,1,2,3,4,5,6,7,8,9,10))</f>
        <v/>
      </c>
      <c r="S37" s="33" t="str">
        <f ca="1">IF(K37="","",CHOOSE(MATCH(K37,IF($D37="男",INDIRECT(設定!AA83),INDIRECT(設定!AB83)),1),10,9,8,7,6,5,4,3,2,1,0))</f>
        <v/>
      </c>
      <c r="T37" s="33" t="str">
        <f ca="1">IF(L37="","",CHOOSE(MATCH(L37,IF($D37="男",INDIRECT(設定!AC83),INDIRECT(設定!AD83)),1),0,1,2,3,4,5,6,7,8,9,10))</f>
        <v/>
      </c>
      <c r="U37" s="38" t="str">
        <f ca="1">IF(M37="","",CHOOSE(MATCH(M37,IF($D37="男",INDIRECT(設定!AE83),INDIRECT(設定!AF83)),1),0,1,2,3,4,5,6,7,8,9,10))</f>
        <v/>
      </c>
      <c r="V37" s="32">
        <f t="shared" si="22"/>
        <v>0</v>
      </c>
      <c r="W37" s="33">
        <f t="shared" ca="1" si="23"/>
        <v>0</v>
      </c>
      <c r="X37" s="33" t="str">
        <f t="shared" si="12"/>
        <v>-----</v>
      </c>
      <c r="Y37" s="22">
        <f t="shared" ca="1" si="26"/>
        <v>0</v>
      </c>
      <c r="Z37" s="22">
        <f t="shared" ca="1" si="27"/>
        <v>0</v>
      </c>
      <c r="AA37" s="54" t="str">
        <f ca="1">IF(V37=8,CHOOSE(MATCH(W37,INDIRECT(設定!AG83),1),1,2,3,4,5),"-----")</f>
        <v>-----</v>
      </c>
      <c r="AB37" s="79" t="str">
        <f t="shared" si="13"/>
        <v>A034</v>
      </c>
      <c r="AC37" s="100"/>
      <c r="AD37" s="82"/>
      <c r="AE37" s="83"/>
      <c r="AF37" s="83"/>
      <c r="AG37" s="92"/>
      <c r="AH37" s="84"/>
      <c r="AI37" s="84"/>
      <c r="AJ37" s="85"/>
      <c r="AK37" s="85"/>
      <c r="AL37" s="95"/>
      <c r="AM37" s="83"/>
      <c r="AN37" s="86"/>
      <c r="AO37" s="86"/>
      <c r="AP37" s="87"/>
      <c r="AQ37" s="87"/>
      <c r="AR37" s="81" t="str">
        <f t="shared" si="0"/>
        <v>A034</v>
      </c>
      <c r="AS37" s="88"/>
      <c r="AT37" s="89"/>
      <c r="AU37">
        <f t="shared" si="1"/>
        <v>0</v>
      </c>
      <c r="AV37">
        <f t="shared" si="2"/>
        <v>0</v>
      </c>
      <c r="AW37" s="59">
        <f t="shared" si="14"/>
        <v>0</v>
      </c>
      <c r="AX37" s="8" t="str">
        <f t="shared" si="15"/>
        <v>0</v>
      </c>
      <c r="AY37">
        <f t="shared" si="16"/>
        <v>0</v>
      </c>
      <c r="AZ37">
        <f t="shared" si="17"/>
        <v>0</v>
      </c>
      <c r="BA37">
        <f t="shared" si="18"/>
        <v>0</v>
      </c>
      <c r="BB37">
        <f t="shared" si="19"/>
        <v>0</v>
      </c>
      <c r="BC37" s="59">
        <f t="shared" si="20"/>
        <v>0</v>
      </c>
      <c r="BD37" s="59" t="str">
        <f t="shared" si="21"/>
        <v/>
      </c>
    </row>
    <row r="38" spans="1:56" ht="18.600000000000001" customHeight="1" thickBot="1">
      <c r="A38" s="50">
        <v>35</v>
      </c>
      <c r="B38" s="36" t="s">
        <v>55</v>
      </c>
      <c r="C38" s="36"/>
      <c r="D38" s="46"/>
      <c r="E38" s="118">
        <f t="shared" si="3"/>
        <v>11</v>
      </c>
      <c r="F38" s="149" t="str">
        <f t="shared" si="4"/>
        <v/>
      </c>
      <c r="G38" s="136" t="str">
        <f t="shared" si="5"/>
        <v/>
      </c>
      <c r="H38" s="70" t="str">
        <f t="shared" si="6"/>
        <v/>
      </c>
      <c r="I38" s="71" t="str">
        <f t="shared" si="7"/>
        <v/>
      </c>
      <c r="J38" s="137" t="str">
        <f t="shared" si="8"/>
        <v/>
      </c>
      <c r="K38" s="138" t="str">
        <f t="shared" si="9"/>
        <v/>
      </c>
      <c r="L38" s="72" t="str">
        <f t="shared" si="10"/>
        <v/>
      </c>
      <c r="M38" s="73" t="str">
        <f t="shared" si="11"/>
        <v/>
      </c>
      <c r="N38" s="47" t="str">
        <f ca="1">IF(F38="","",CHOOSE(MATCH($F38,IF($D38="男",INDIRECT(設定!Q84),INDIRECT(設定!R84)),1),0,1,2,3,4,5,6,7,8,9,10))</f>
        <v/>
      </c>
      <c r="O38" s="48" t="str">
        <f ca="1">IF(G38="","",CHOOSE(MATCH(G38,IF($D38="男",INDIRECT(設定!S84),INDIRECT(設定!T84)),1),0,1,2,3,4,5,6,7,8,9,10))</f>
        <v/>
      </c>
      <c r="P38" s="48" t="str">
        <f ca="1">IF(H38="","",CHOOSE(MATCH(H38,IF($D38="男",INDIRECT(設定!U84),INDIRECT(設定!V84)),1),0,1,2,3,4,5,6,7,8,9,10))</f>
        <v/>
      </c>
      <c r="Q38" s="48" t="str">
        <f ca="1">IF(I38="","",CHOOSE(MATCH(I38,IF($D38="男",INDIRECT(設定!W84),INDIRECT(設定!X84)),1),0,1,2,3,4,5,6,7,8,9,10))</f>
        <v/>
      </c>
      <c r="R38" s="48" t="str">
        <f ca="1">IF(J38="","",CHOOSE(MATCH(J38,IF($D38="男",INDIRECT(設定!Y84),INDIRECT(設定!Z84)),1),0,1,2,3,4,5,6,7,8,9,10))</f>
        <v/>
      </c>
      <c r="S38" s="48" t="str">
        <f ca="1">IF(K38="","",CHOOSE(MATCH(K38,IF($D38="男",INDIRECT(設定!AA84),INDIRECT(設定!AB84)),1),10,9,8,7,6,5,4,3,2,1,0))</f>
        <v/>
      </c>
      <c r="T38" s="48" t="str">
        <f ca="1">IF(L38="","",CHOOSE(MATCH(L38,IF($D38="男",INDIRECT(設定!AC84),INDIRECT(設定!AD84)),1),0,1,2,3,4,5,6,7,8,9,10))</f>
        <v/>
      </c>
      <c r="U38" s="49" t="str">
        <f ca="1">IF(M38="","",CHOOSE(MATCH(M38,IF($D38="男",INDIRECT(設定!AE84),INDIRECT(設定!AF84)),1),0,1,2,3,4,5,6,7,8,9,10))</f>
        <v/>
      </c>
      <c r="V38" s="47">
        <f t="shared" si="22"/>
        <v>0</v>
      </c>
      <c r="W38" s="48">
        <f t="shared" ca="1" si="23"/>
        <v>0</v>
      </c>
      <c r="X38" s="48" t="str">
        <f t="shared" si="12"/>
        <v>-----</v>
      </c>
      <c r="Y38" s="22">
        <f t="shared" ca="1" si="26"/>
        <v>0</v>
      </c>
      <c r="Z38" s="22">
        <f t="shared" ca="1" si="27"/>
        <v>0</v>
      </c>
      <c r="AA38" s="54" t="str">
        <f ca="1">IF(V38=8,CHOOSE(MATCH(W38,INDIRECT(設定!AG84),1),1,2,3,4,5),"-----")</f>
        <v>-----</v>
      </c>
      <c r="AB38" s="79" t="str">
        <f t="shared" si="13"/>
        <v>A035</v>
      </c>
      <c r="AC38" s="100"/>
      <c r="AD38" s="82"/>
      <c r="AE38" s="83"/>
      <c r="AF38" s="83"/>
      <c r="AG38" s="92"/>
      <c r="AH38" s="84"/>
      <c r="AI38" s="84"/>
      <c r="AJ38" s="85"/>
      <c r="AK38" s="85"/>
      <c r="AL38" s="95"/>
      <c r="AM38" s="83"/>
      <c r="AN38" s="86"/>
      <c r="AO38" s="86"/>
      <c r="AP38" s="87"/>
      <c r="AQ38" s="87"/>
      <c r="AR38" s="81" t="str">
        <f t="shared" si="0"/>
        <v>A035</v>
      </c>
      <c r="AS38" s="88"/>
      <c r="AT38" s="89"/>
      <c r="AU38">
        <f t="shared" si="1"/>
        <v>0</v>
      </c>
      <c r="AV38">
        <f t="shared" si="2"/>
        <v>0</v>
      </c>
      <c r="AW38" s="59">
        <f t="shared" si="14"/>
        <v>0</v>
      </c>
      <c r="AX38" s="8" t="str">
        <f t="shared" si="15"/>
        <v>0</v>
      </c>
      <c r="AY38">
        <f t="shared" si="16"/>
        <v>0</v>
      </c>
      <c r="AZ38">
        <f t="shared" si="17"/>
        <v>0</v>
      </c>
      <c r="BA38">
        <f t="shared" si="18"/>
        <v>0</v>
      </c>
      <c r="BB38">
        <f t="shared" si="19"/>
        <v>0</v>
      </c>
      <c r="BC38" s="59">
        <f t="shared" si="20"/>
        <v>0</v>
      </c>
      <c r="BD38" s="59" t="str">
        <f t="shared" si="21"/>
        <v/>
      </c>
    </row>
    <row r="39" spans="1:56" ht="18.600000000000001" customHeight="1" thickTop="1">
      <c r="A39" s="51">
        <v>36</v>
      </c>
      <c r="B39" s="30" t="s">
        <v>56</v>
      </c>
      <c r="C39" s="30"/>
      <c r="D39" s="31"/>
      <c r="E39" s="119">
        <f t="shared" si="3"/>
        <v>11</v>
      </c>
      <c r="F39" s="150" t="str">
        <f t="shared" si="4"/>
        <v/>
      </c>
      <c r="G39" s="99" t="str">
        <f t="shared" si="5"/>
        <v/>
      </c>
      <c r="H39" s="69" t="str">
        <f t="shared" si="6"/>
        <v/>
      </c>
      <c r="I39" s="62" t="str">
        <f t="shared" si="7"/>
        <v/>
      </c>
      <c r="J39" s="97" t="str">
        <f t="shared" si="8"/>
        <v/>
      </c>
      <c r="K39" s="98" t="str">
        <f t="shared" si="9"/>
        <v/>
      </c>
      <c r="L39" s="63" t="str">
        <f t="shared" si="10"/>
        <v/>
      </c>
      <c r="M39" s="65" t="str">
        <f t="shared" si="11"/>
        <v/>
      </c>
      <c r="N39" s="32" t="str">
        <f ca="1">IF(F39="","",CHOOSE(MATCH($F39,IF($D39="男",INDIRECT(設定!Q85),INDIRECT(設定!R85)),1),0,1,2,3,4,5,6,7,8,9,10))</f>
        <v/>
      </c>
      <c r="O39" s="33" t="str">
        <f ca="1">IF(G39="","",CHOOSE(MATCH(G39,IF($D39="男",INDIRECT(設定!S85),INDIRECT(設定!T85)),1),0,1,2,3,4,5,6,7,8,9,10))</f>
        <v/>
      </c>
      <c r="P39" s="33" t="str">
        <f ca="1">IF(H39="","",CHOOSE(MATCH(H39,IF($D39="男",INDIRECT(設定!U85),INDIRECT(設定!V85)),1),0,1,2,3,4,5,6,7,8,9,10))</f>
        <v/>
      </c>
      <c r="Q39" s="33" t="str">
        <f ca="1">IF(I39="","",CHOOSE(MATCH(I39,IF($D39="男",INDIRECT(設定!W85),INDIRECT(設定!X85)),1),0,1,2,3,4,5,6,7,8,9,10))</f>
        <v/>
      </c>
      <c r="R39" s="33" t="str">
        <f ca="1">IF(J39="","",CHOOSE(MATCH(J39,IF($D39="男",INDIRECT(設定!Y85),INDIRECT(設定!Z85)),1),0,1,2,3,4,5,6,7,8,9,10))</f>
        <v/>
      </c>
      <c r="S39" s="33" t="str">
        <f ca="1">IF(K39="","",CHOOSE(MATCH(K39,IF($D39="男",INDIRECT(設定!AA85),INDIRECT(設定!AB85)),1),10,9,8,7,6,5,4,3,2,1,0))</f>
        <v/>
      </c>
      <c r="T39" s="33" t="str">
        <f ca="1">IF(L39="","",CHOOSE(MATCH(L39,IF($D39="男",INDIRECT(設定!AC85),INDIRECT(設定!AD85)),1),0,1,2,3,4,5,6,7,8,9,10))</f>
        <v/>
      </c>
      <c r="U39" s="45" t="str">
        <f ca="1">IF(M39="","",CHOOSE(MATCH(M39,IF($D39="男",INDIRECT(設定!AE85),INDIRECT(設定!AF85)),1),0,1,2,3,4,5,6,7,8,9,10))</f>
        <v/>
      </c>
      <c r="V39" s="32">
        <f t="shared" si="22"/>
        <v>0</v>
      </c>
      <c r="W39" s="33">
        <f t="shared" ca="1" si="23"/>
        <v>0</v>
      </c>
      <c r="X39" s="33" t="str">
        <f t="shared" si="12"/>
        <v>-----</v>
      </c>
      <c r="Y39" s="22">
        <f t="shared" ca="1" si="26"/>
        <v>0</v>
      </c>
      <c r="Z39" s="22">
        <f t="shared" ca="1" si="27"/>
        <v>0</v>
      </c>
      <c r="AA39" s="54" t="str">
        <f ca="1">IF(V39=8,CHOOSE(MATCH(W39,INDIRECT(設定!AG85),1),1,2,3,4,5),"-----")</f>
        <v>-----</v>
      </c>
      <c r="AB39" s="79" t="str">
        <f t="shared" si="13"/>
        <v>A036</v>
      </c>
      <c r="AC39" s="100"/>
      <c r="AD39" s="82"/>
      <c r="AE39" s="83"/>
      <c r="AF39" s="83"/>
      <c r="AG39" s="92"/>
      <c r="AH39" s="84"/>
      <c r="AI39" s="84"/>
      <c r="AJ39" s="85"/>
      <c r="AK39" s="85"/>
      <c r="AL39" s="95"/>
      <c r="AM39" s="83"/>
      <c r="AN39" s="86"/>
      <c r="AO39" s="86"/>
      <c r="AP39" s="87"/>
      <c r="AQ39" s="87"/>
      <c r="AR39" s="81" t="str">
        <f t="shared" si="0"/>
        <v>A036</v>
      </c>
      <c r="AS39" s="88"/>
      <c r="AT39" s="89"/>
      <c r="AU39">
        <f t="shared" si="1"/>
        <v>0</v>
      </c>
      <c r="AV39">
        <f t="shared" si="2"/>
        <v>0</v>
      </c>
      <c r="AW39" s="59">
        <f t="shared" si="14"/>
        <v>0</v>
      </c>
      <c r="AX39" s="8" t="str">
        <f t="shared" si="15"/>
        <v>0</v>
      </c>
      <c r="AY39">
        <f t="shared" si="16"/>
        <v>0</v>
      </c>
      <c r="AZ39">
        <f t="shared" si="17"/>
        <v>0</v>
      </c>
      <c r="BA39">
        <f t="shared" si="18"/>
        <v>0</v>
      </c>
      <c r="BB39">
        <f t="shared" si="19"/>
        <v>0</v>
      </c>
      <c r="BC39" s="59">
        <f t="shared" si="20"/>
        <v>0</v>
      </c>
      <c r="BD39" s="59" t="str">
        <f t="shared" si="21"/>
        <v/>
      </c>
    </row>
    <row r="40" spans="1:56" ht="18.600000000000001" customHeight="1">
      <c r="A40" s="35">
        <v>37</v>
      </c>
      <c r="B40" s="36" t="s">
        <v>57</v>
      </c>
      <c r="C40" s="36"/>
      <c r="D40" s="37"/>
      <c r="E40" s="117">
        <f t="shared" si="3"/>
        <v>11</v>
      </c>
      <c r="F40" s="146" t="str">
        <f t="shared" si="4"/>
        <v/>
      </c>
      <c r="G40" s="120" t="str">
        <f t="shared" si="5"/>
        <v/>
      </c>
      <c r="H40" s="67" t="str">
        <f t="shared" si="6"/>
        <v/>
      </c>
      <c r="I40" s="68" t="str">
        <f t="shared" si="7"/>
        <v/>
      </c>
      <c r="J40" s="121" t="str">
        <f t="shared" si="8"/>
        <v/>
      </c>
      <c r="K40" s="122" t="str">
        <f t="shared" si="9"/>
        <v/>
      </c>
      <c r="L40" s="123" t="str">
        <f t="shared" si="10"/>
        <v/>
      </c>
      <c r="M40" s="135" t="str">
        <f t="shared" si="11"/>
        <v/>
      </c>
      <c r="N40" s="32" t="str">
        <f ca="1">IF(F40="","",CHOOSE(MATCH($F40,IF($D40="男",INDIRECT(設定!Q86),INDIRECT(設定!R86)),1),0,1,2,3,4,5,6,7,8,9,10))</f>
        <v/>
      </c>
      <c r="O40" s="33" t="str">
        <f ca="1">IF(G40="","",CHOOSE(MATCH(G40,IF($D40="男",INDIRECT(設定!S86),INDIRECT(設定!T86)),1),0,1,2,3,4,5,6,7,8,9,10))</f>
        <v/>
      </c>
      <c r="P40" s="33" t="str">
        <f ca="1">IF(H40="","",CHOOSE(MATCH(H40,IF($D40="男",INDIRECT(設定!U86),INDIRECT(設定!V86)),1),0,1,2,3,4,5,6,7,8,9,10))</f>
        <v/>
      </c>
      <c r="Q40" s="33" t="str">
        <f ca="1">IF(I40="","",CHOOSE(MATCH(I40,IF($D40="男",INDIRECT(設定!W86),INDIRECT(設定!X86)),1),0,1,2,3,4,5,6,7,8,9,10))</f>
        <v/>
      </c>
      <c r="R40" s="33" t="str">
        <f ca="1">IF(J40="","",CHOOSE(MATCH(J40,IF($D40="男",INDIRECT(設定!Y86),INDIRECT(設定!Z86)),1),0,1,2,3,4,5,6,7,8,9,10))</f>
        <v/>
      </c>
      <c r="S40" s="33" t="str">
        <f ca="1">IF(K40="","",CHOOSE(MATCH(K40,IF($D40="男",INDIRECT(設定!AA86),INDIRECT(設定!AB86)),1),10,9,8,7,6,5,4,3,2,1,0))</f>
        <v/>
      </c>
      <c r="T40" s="33" t="str">
        <f ca="1">IF(L40="","",CHOOSE(MATCH(L40,IF($D40="男",INDIRECT(設定!AC86),INDIRECT(設定!AD86)),1),0,1,2,3,4,5,6,7,8,9,10))</f>
        <v/>
      </c>
      <c r="U40" s="38" t="str">
        <f ca="1">IF(M40="","",CHOOSE(MATCH(M40,IF($D40="男",INDIRECT(設定!AE86),INDIRECT(設定!AF86)),1),0,1,2,3,4,5,6,7,8,9,10))</f>
        <v/>
      </c>
      <c r="V40" s="32">
        <f t="shared" si="22"/>
        <v>0</v>
      </c>
      <c r="W40" s="33">
        <f t="shared" ca="1" si="23"/>
        <v>0</v>
      </c>
      <c r="X40" s="33" t="str">
        <f t="shared" si="12"/>
        <v>-----</v>
      </c>
      <c r="Y40" s="22">
        <f t="shared" ca="1" si="26"/>
        <v>0</v>
      </c>
      <c r="Z40" s="22">
        <f t="shared" ca="1" si="27"/>
        <v>0</v>
      </c>
      <c r="AA40" s="54" t="str">
        <f ca="1">IF(V40=8,CHOOSE(MATCH(W40,INDIRECT(設定!AG86),1),1,2,3,4,5),"-----")</f>
        <v>-----</v>
      </c>
      <c r="AB40" s="79" t="str">
        <f t="shared" si="13"/>
        <v>A037</v>
      </c>
      <c r="AC40" s="100"/>
      <c r="AD40" s="82"/>
      <c r="AE40" s="83"/>
      <c r="AF40" s="83"/>
      <c r="AG40" s="92"/>
      <c r="AH40" s="84"/>
      <c r="AI40" s="84"/>
      <c r="AJ40" s="85"/>
      <c r="AK40" s="85"/>
      <c r="AL40" s="95"/>
      <c r="AM40" s="83"/>
      <c r="AN40" s="86"/>
      <c r="AO40" s="86"/>
      <c r="AP40" s="87"/>
      <c r="AQ40" s="87"/>
      <c r="AR40" s="81" t="str">
        <f t="shared" si="0"/>
        <v>A037</v>
      </c>
      <c r="AS40" s="88"/>
      <c r="AT40" s="89"/>
      <c r="AU40">
        <f t="shared" si="1"/>
        <v>0</v>
      </c>
      <c r="AV40">
        <f t="shared" si="2"/>
        <v>0</v>
      </c>
      <c r="AW40" s="59">
        <f t="shared" si="14"/>
        <v>0</v>
      </c>
      <c r="AX40" s="8" t="str">
        <f t="shared" si="15"/>
        <v>0</v>
      </c>
      <c r="AY40">
        <f t="shared" si="16"/>
        <v>0</v>
      </c>
      <c r="AZ40">
        <f t="shared" si="17"/>
        <v>0</v>
      </c>
      <c r="BA40">
        <f t="shared" si="18"/>
        <v>0</v>
      </c>
      <c r="BB40">
        <f t="shared" si="19"/>
        <v>0</v>
      </c>
      <c r="BC40" s="59">
        <f t="shared" si="20"/>
        <v>0</v>
      </c>
      <c r="BD40" s="59" t="str">
        <f t="shared" si="21"/>
        <v/>
      </c>
    </row>
    <row r="41" spans="1:56" ht="18.600000000000001" customHeight="1">
      <c r="A41" s="35">
        <v>38</v>
      </c>
      <c r="B41" s="36" t="s">
        <v>58</v>
      </c>
      <c r="C41" s="36"/>
      <c r="D41" s="37"/>
      <c r="E41" s="117">
        <f t="shared" si="3"/>
        <v>11</v>
      </c>
      <c r="F41" s="146" t="str">
        <f t="shared" si="4"/>
        <v/>
      </c>
      <c r="G41" s="120" t="str">
        <f t="shared" si="5"/>
        <v/>
      </c>
      <c r="H41" s="67" t="str">
        <f t="shared" si="6"/>
        <v/>
      </c>
      <c r="I41" s="68" t="str">
        <f t="shared" si="7"/>
        <v/>
      </c>
      <c r="J41" s="121" t="str">
        <f t="shared" si="8"/>
        <v/>
      </c>
      <c r="K41" s="122" t="str">
        <f t="shared" si="9"/>
        <v/>
      </c>
      <c r="L41" s="123" t="str">
        <f t="shared" si="10"/>
        <v/>
      </c>
      <c r="M41" s="135" t="str">
        <f t="shared" si="11"/>
        <v/>
      </c>
      <c r="N41" s="32" t="str">
        <f ca="1">IF(F41="","",CHOOSE(MATCH($F41,IF($D41="男",INDIRECT(設定!Q87),INDIRECT(設定!R87)),1),0,1,2,3,4,5,6,7,8,9,10))</f>
        <v/>
      </c>
      <c r="O41" s="33" t="str">
        <f ca="1">IF(G41="","",CHOOSE(MATCH(G41,IF($D41="男",INDIRECT(設定!S87),INDIRECT(設定!T87)),1),0,1,2,3,4,5,6,7,8,9,10))</f>
        <v/>
      </c>
      <c r="P41" s="33" t="str">
        <f ca="1">IF(H41="","",CHOOSE(MATCH(H41,IF($D41="男",INDIRECT(設定!U87),INDIRECT(設定!V87)),1),0,1,2,3,4,5,6,7,8,9,10))</f>
        <v/>
      </c>
      <c r="Q41" s="33" t="str">
        <f ca="1">IF(I41="","",CHOOSE(MATCH(I41,IF($D41="男",INDIRECT(設定!W87),INDIRECT(設定!X87)),1),0,1,2,3,4,5,6,7,8,9,10))</f>
        <v/>
      </c>
      <c r="R41" s="33" t="str">
        <f ca="1">IF(J41="","",CHOOSE(MATCH(J41,IF($D41="男",INDIRECT(設定!Y87),INDIRECT(設定!Z87)),1),0,1,2,3,4,5,6,7,8,9,10))</f>
        <v/>
      </c>
      <c r="S41" s="33" t="str">
        <f ca="1">IF(K41="","",CHOOSE(MATCH(K41,IF($D41="男",INDIRECT(設定!AA87),INDIRECT(設定!AB87)),1),10,9,8,7,6,5,4,3,2,1,0))</f>
        <v/>
      </c>
      <c r="T41" s="33" t="str">
        <f ca="1">IF(L41="","",CHOOSE(MATCH(L41,IF($D41="男",INDIRECT(設定!AC87),INDIRECT(設定!AD87)),1),0,1,2,3,4,5,6,7,8,9,10))</f>
        <v/>
      </c>
      <c r="U41" s="38" t="str">
        <f ca="1">IF(M41="","",CHOOSE(MATCH(M41,IF($D41="男",INDIRECT(設定!AE87),INDIRECT(設定!AF87)),1),0,1,2,3,4,5,6,7,8,9,10))</f>
        <v/>
      </c>
      <c r="V41" s="32">
        <f t="shared" si="22"/>
        <v>0</v>
      </c>
      <c r="W41" s="33">
        <f t="shared" ca="1" si="23"/>
        <v>0</v>
      </c>
      <c r="X41" s="33" t="str">
        <f t="shared" si="12"/>
        <v>-----</v>
      </c>
      <c r="Y41" s="22">
        <f t="shared" ca="1" si="26"/>
        <v>0</v>
      </c>
      <c r="Z41" s="22">
        <f t="shared" ca="1" si="27"/>
        <v>0</v>
      </c>
      <c r="AA41" s="54" t="str">
        <f ca="1">IF(V41=8,CHOOSE(MATCH(W41,INDIRECT(設定!AG87),1),1,2,3,4,5),"-----")</f>
        <v>-----</v>
      </c>
      <c r="AB41" s="79" t="str">
        <f t="shared" si="13"/>
        <v>A038</v>
      </c>
      <c r="AC41" s="100"/>
      <c r="AD41" s="82"/>
      <c r="AE41" s="83"/>
      <c r="AF41" s="83"/>
      <c r="AG41" s="92"/>
      <c r="AH41" s="84"/>
      <c r="AI41" s="84"/>
      <c r="AJ41" s="85"/>
      <c r="AK41" s="85"/>
      <c r="AL41" s="95"/>
      <c r="AM41" s="83"/>
      <c r="AN41" s="86"/>
      <c r="AO41" s="86"/>
      <c r="AP41" s="87"/>
      <c r="AQ41" s="87"/>
      <c r="AR41" s="81" t="str">
        <f t="shared" si="0"/>
        <v>A038</v>
      </c>
      <c r="AS41" s="88"/>
      <c r="AT41" s="89"/>
      <c r="AU41">
        <f t="shared" si="1"/>
        <v>0</v>
      </c>
      <c r="AV41">
        <f t="shared" si="2"/>
        <v>0</v>
      </c>
      <c r="AW41" s="59">
        <f t="shared" si="14"/>
        <v>0</v>
      </c>
      <c r="AX41" s="8" t="str">
        <f t="shared" si="15"/>
        <v>0</v>
      </c>
      <c r="AY41">
        <f t="shared" si="16"/>
        <v>0</v>
      </c>
      <c r="AZ41">
        <f t="shared" si="17"/>
        <v>0</v>
      </c>
      <c r="BA41">
        <f t="shared" si="18"/>
        <v>0</v>
      </c>
      <c r="BB41">
        <f t="shared" si="19"/>
        <v>0</v>
      </c>
      <c r="BC41" s="59">
        <f t="shared" si="20"/>
        <v>0</v>
      </c>
      <c r="BD41" s="59" t="str">
        <f t="shared" si="21"/>
        <v/>
      </c>
    </row>
    <row r="42" spans="1:56" ht="18.600000000000001" customHeight="1">
      <c r="A42" s="35">
        <v>39</v>
      </c>
      <c r="B42" s="36" t="s">
        <v>59</v>
      </c>
      <c r="C42" s="36"/>
      <c r="D42" s="37"/>
      <c r="E42" s="117">
        <f t="shared" si="3"/>
        <v>11</v>
      </c>
      <c r="F42" s="146" t="str">
        <f t="shared" si="4"/>
        <v/>
      </c>
      <c r="G42" s="120" t="str">
        <f t="shared" si="5"/>
        <v/>
      </c>
      <c r="H42" s="67" t="str">
        <f t="shared" si="6"/>
        <v/>
      </c>
      <c r="I42" s="68" t="str">
        <f t="shared" si="7"/>
        <v/>
      </c>
      <c r="J42" s="121" t="str">
        <f t="shared" si="8"/>
        <v/>
      </c>
      <c r="K42" s="122" t="str">
        <f t="shared" si="9"/>
        <v/>
      </c>
      <c r="L42" s="123" t="str">
        <f t="shared" si="10"/>
        <v/>
      </c>
      <c r="M42" s="135" t="str">
        <f t="shared" si="11"/>
        <v/>
      </c>
      <c r="N42" s="32" t="str">
        <f ca="1">IF(F42="","",CHOOSE(MATCH($F42,IF($D42="男",INDIRECT(設定!Q88),INDIRECT(設定!R88)),1),0,1,2,3,4,5,6,7,8,9,10))</f>
        <v/>
      </c>
      <c r="O42" s="33" t="str">
        <f ca="1">IF(G42="","",CHOOSE(MATCH(G42,IF($D42="男",INDIRECT(設定!S88),INDIRECT(設定!T88)),1),0,1,2,3,4,5,6,7,8,9,10))</f>
        <v/>
      </c>
      <c r="P42" s="33" t="str">
        <f ca="1">IF(H42="","",CHOOSE(MATCH(H42,IF($D42="男",INDIRECT(設定!U88),INDIRECT(設定!V88)),1),0,1,2,3,4,5,6,7,8,9,10))</f>
        <v/>
      </c>
      <c r="Q42" s="33" t="str">
        <f ca="1">IF(I42="","",CHOOSE(MATCH(I42,IF($D42="男",INDIRECT(設定!W88),INDIRECT(設定!X88)),1),0,1,2,3,4,5,6,7,8,9,10))</f>
        <v/>
      </c>
      <c r="R42" s="33" t="str">
        <f ca="1">IF(J42="","",CHOOSE(MATCH(J42,IF($D42="男",INDIRECT(設定!Y88),INDIRECT(設定!Z88)),1),0,1,2,3,4,5,6,7,8,9,10))</f>
        <v/>
      </c>
      <c r="S42" s="33" t="str">
        <f ca="1">IF(K42="","",CHOOSE(MATCH(K42,IF($D42="男",INDIRECT(設定!AA88),INDIRECT(設定!AB88)),1),10,9,8,7,6,5,4,3,2,1,0))</f>
        <v/>
      </c>
      <c r="T42" s="33" t="str">
        <f ca="1">IF(L42="","",CHOOSE(MATCH(L42,IF($D42="男",INDIRECT(設定!AC88),INDIRECT(設定!AD88)),1),0,1,2,3,4,5,6,7,8,9,10))</f>
        <v/>
      </c>
      <c r="U42" s="38" t="str">
        <f ca="1">IF(M42="","",CHOOSE(MATCH(M42,IF($D42="男",INDIRECT(設定!AE88),INDIRECT(設定!AF88)),1),0,1,2,3,4,5,6,7,8,9,10))</f>
        <v/>
      </c>
      <c r="V42" s="32">
        <f t="shared" si="22"/>
        <v>0</v>
      </c>
      <c r="W42" s="33">
        <f t="shared" ca="1" si="23"/>
        <v>0</v>
      </c>
      <c r="X42" s="33" t="str">
        <f t="shared" si="12"/>
        <v>-----</v>
      </c>
      <c r="Y42" s="22">
        <f t="shared" ca="1" si="26"/>
        <v>0</v>
      </c>
      <c r="Z42" s="22">
        <f t="shared" ca="1" si="27"/>
        <v>0</v>
      </c>
      <c r="AA42" s="54" t="str">
        <f ca="1">IF(V42=8,CHOOSE(MATCH(W42,INDIRECT(設定!AG88),1),1,2,3,4,5),"-----")</f>
        <v>-----</v>
      </c>
      <c r="AB42" s="79" t="str">
        <f t="shared" si="13"/>
        <v>A039</v>
      </c>
      <c r="AC42" s="100"/>
      <c r="AD42" s="82"/>
      <c r="AE42" s="83"/>
      <c r="AF42" s="83"/>
      <c r="AG42" s="92"/>
      <c r="AH42" s="84"/>
      <c r="AI42" s="84"/>
      <c r="AJ42" s="85"/>
      <c r="AK42" s="85"/>
      <c r="AL42" s="95"/>
      <c r="AM42" s="83"/>
      <c r="AN42" s="86"/>
      <c r="AO42" s="86"/>
      <c r="AP42" s="87"/>
      <c r="AQ42" s="87"/>
      <c r="AR42" s="81" t="str">
        <f t="shared" si="0"/>
        <v>A039</v>
      </c>
      <c r="AS42" s="88"/>
      <c r="AT42" s="89"/>
      <c r="AU42">
        <f t="shared" si="1"/>
        <v>0</v>
      </c>
      <c r="AV42">
        <f t="shared" si="2"/>
        <v>0</v>
      </c>
      <c r="AW42" s="59">
        <f t="shared" si="14"/>
        <v>0</v>
      </c>
      <c r="AX42" s="8" t="str">
        <f t="shared" si="15"/>
        <v>0</v>
      </c>
      <c r="AY42">
        <f t="shared" si="16"/>
        <v>0</v>
      </c>
      <c r="AZ42">
        <f t="shared" si="17"/>
        <v>0</v>
      </c>
      <c r="BA42">
        <f t="shared" si="18"/>
        <v>0</v>
      </c>
      <c r="BB42">
        <f t="shared" si="19"/>
        <v>0</v>
      </c>
      <c r="BC42" s="59">
        <f t="shared" si="20"/>
        <v>0</v>
      </c>
      <c r="BD42" s="59" t="str">
        <f t="shared" si="21"/>
        <v/>
      </c>
    </row>
    <row r="43" spans="1:56" ht="18.600000000000001" customHeight="1" thickBot="1">
      <c r="A43" s="43">
        <v>40</v>
      </c>
      <c r="B43" s="44" t="s">
        <v>60</v>
      </c>
      <c r="C43" s="44"/>
      <c r="D43" s="46"/>
      <c r="E43" s="118">
        <f t="shared" si="3"/>
        <v>11</v>
      </c>
      <c r="F43" s="149" t="str">
        <f t="shared" si="4"/>
        <v/>
      </c>
      <c r="G43" s="136" t="str">
        <f t="shared" si="5"/>
        <v/>
      </c>
      <c r="H43" s="70" t="str">
        <f t="shared" si="6"/>
        <v/>
      </c>
      <c r="I43" s="71" t="str">
        <f t="shared" si="7"/>
        <v/>
      </c>
      <c r="J43" s="137" t="str">
        <f t="shared" si="8"/>
        <v/>
      </c>
      <c r="K43" s="138" t="str">
        <f t="shared" si="9"/>
        <v/>
      </c>
      <c r="L43" s="72" t="str">
        <f t="shared" si="10"/>
        <v/>
      </c>
      <c r="M43" s="73" t="str">
        <f t="shared" si="11"/>
        <v/>
      </c>
      <c r="N43" s="47" t="str">
        <f ca="1">IF(F43="","",CHOOSE(MATCH($F43,IF($D43="男",INDIRECT(設定!Q89),INDIRECT(設定!R89)),1),0,1,2,3,4,5,6,7,8,9,10))</f>
        <v/>
      </c>
      <c r="O43" s="48" t="str">
        <f ca="1">IF(G43="","",CHOOSE(MATCH(G43,IF($D43="男",INDIRECT(設定!S89),INDIRECT(設定!T89)),1),0,1,2,3,4,5,6,7,8,9,10))</f>
        <v/>
      </c>
      <c r="P43" s="48" t="str">
        <f ca="1">IF(H43="","",CHOOSE(MATCH(H43,IF($D43="男",INDIRECT(設定!U89),INDIRECT(設定!V89)),1),0,1,2,3,4,5,6,7,8,9,10))</f>
        <v/>
      </c>
      <c r="Q43" s="48" t="str">
        <f ca="1">IF(I43="","",CHOOSE(MATCH(I43,IF($D43="男",INDIRECT(設定!W89),INDIRECT(設定!X89)),1),0,1,2,3,4,5,6,7,8,9,10))</f>
        <v/>
      </c>
      <c r="R43" s="48" t="str">
        <f ca="1">IF(J43="","",CHOOSE(MATCH(J43,IF($D43="男",INDIRECT(設定!Y89),INDIRECT(設定!Z89)),1),0,1,2,3,4,5,6,7,8,9,10))</f>
        <v/>
      </c>
      <c r="S43" s="48" t="str">
        <f ca="1">IF(K43="","",CHOOSE(MATCH(K43,IF($D43="男",INDIRECT(設定!AA89),INDIRECT(設定!AB89)),1),10,9,8,7,6,5,4,3,2,1,0))</f>
        <v/>
      </c>
      <c r="T43" s="48" t="str">
        <f ca="1">IF(L43="","",CHOOSE(MATCH(L43,IF($D43="男",INDIRECT(設定!AC89),INDIRECT(設定!AD89)),1),0,1,2,3,4,5,6,7,8,9,10))</f>
        <v/>
      </c>
      <c r="U43" s="49" t="str">
        <f ca="1">IF(M43="","",CHOOSE(MATCH(M43,IF($D43="男",INDIRECT(設定!AE89),INDIRECT(設定!AF89)),1),0,1,2,3,4,5,6,7,8,9,10))</f>
        <v/>
      </c>
      <c r="V43" s="47">
        <f t="shared" si="22"/>
        <v>0</v>
      </c>
      <c r="W43" s="48">
        <f t="shared" ca="1" si="23"/>
        <v>0</v>
      </c>
      <c r="X43" s="48" t="str">
        <f t="shared" si="12"/>
        <v>-----</v>
      </c>
      <c r="Y43" s="22">
        <f t="shared" ca="1" si="26"/>
        <v>0</v>
      </c>
      <c r="Z43" s="22">
        <f t="shared" ca="1" si="27"/>
        <v>0</v>
      </c>
      <c r="AA43" s="54" t="str">
        <f ca="1">IF(V43=8,CHOOSE(MATCH(W43,INDIRECT(設定!AG89),1),1,2,3,4,5),"-----")</f>
        <v>-----</v>
      </c>
      <c r="AB43" s="79" t="str">
        <f t="shared" si="13"/>
        <v>A040</v>
      </c>
      <c r="AC43" s="100"/>
      <c r="AD43" s="82"/>
      <c r="AE43" s="83"/>
      <c r="AF43" s="83"/>
      <c r="AG43" s="92"/>
      <c r="AH43" s="84"/>
      <c r="AI43" s="84"/>
      <c r="AJ43" s="85"/>
      <c r="AK43" s="85"/>
      <c r="AL43" s="95"/>
      <c r="AM43" s="83"/>
      <c r="AN43" s="86"/>
      <c r="AO43" s="86"/>
      <c r="AP43" s="87"/>
      <c r="AQ43" s="87"/>
      <c r="AR43" s="81" t="str">
        <f t="shared" si="0"/>
        <v>A040</v>
      </c>
      <c r="AS43" s="88"/>
      <c r="AT43" s="89"/>
      <c r="AU43">
        <f t="shared" si="1"/>
        <v>0</v>
      </c>
      <c r="AV43">
        <f t="shared" si="2"/>
        <v>0</v>
      </c>
      <c r="AW43" s="59">
        <f t="shared" si="14"/>
        <v>0</v>
      </c>
      <c r="AX43" s="8" t="str">
        <f t="shared" si="15"/>
        <v>0</v>
      </c>
      <c r="AY43">
        <f t="shared" si="16"/>
        <v>0</v>
      </c>
      <c r="AZ43">
        <f t="shared" si="17"/>
        <v>0</v>
      </c>
      <c r="BA43">
        <f t="shared" si="18"/>
        <v>0</v>
      </c>
      <c r="BB43">
        <f t="shared" si="19"/>
        <v>0</v>
      </c>
      <c r="BC43" s="59">
        <f t="shared" si="20"/>
        <v>0</v>
      </c>
      <c r="BD43" s="59" t="str">
        <f t="shared" si="21"/>
        <v/>
      </c>
    </row>
    <row r="44" spans="1:56" ht="12.75" thickTop="1">
      <c r="F44" s="151"/>
    </row>
  </sheetData>
  <sheetProtection password="C7F4" sheet="1" objects="1" scenarios="1" formatCells="0" selectLockedCells="1"/>
  <mergeCells count="23">
    <mergeCell ref="X2:X3"/>
    <mergeCell ref="F2:M2"/>
    <mergeCell ref="C2:C3"/>
    <mergeCell ref="S1:U1"/>
    <mergeCell ref="W2:W3"/>
    <mergeCell ref="A2:A3"/>
    <mergeCell ref="B2:B3"/>
    <mergeCell ref="D2:D3"/>
    <mergeCell ref="E2:E3"/>
    <mergeCell ref="V2:V3"/>
    <mergeCell ref="N2:U2"/>
    <mergeCell ref="Y2:Y3"/>
    <mergeCell ref="AC1:AQ1"/>
    <mergeCell ref="AH2:AI2"/>
    <mergeCell ref="AN2:AO2"/>
    <mergeCell ref="AP2:AQ2"/>
    <mergeCell ref="Z2:Z3"/>
    <mergeCell ref="AS1:AT1"/>
    <mergeCell ref="AC2:AD2"/>
    <mergeCell ref="AJ2:AK2"/>
    <mergeCell ref="AE2:AF2"/>
    <mergeCell ref="AS2:AS3"/>
    <mergeCell ref="AT2:AT3"/>
  </mergeCells>
  <phoneticPr fontId="1" type="Hiragana"/>
  <dataValidations count="5">
    <dataValidation type="list" allowBlank="1" showInputMessage="1" showErrorMessage="1" sqref="D4:D43" xr:uid="{00000000-0002-0000-0100-000000000000}">
      <formula1>"男,女"</formula1>
    </dataValidation>
    <dataValidation type="list" allowBlank="1" showInputMessage="1" showErrorMessage="1" sqref="Y1" xr:uid="{00000000-0002-0000-0100-000001000000}">
      <formula1>"１,２,３,４,５,６,７,８,９,１０,１１,１２,１３,１４,１５,１６,１７,１８,１９,２０,２１,２２,２３,２４,２５,２６,２７,２８,２９,３０,３１"</formula1>
    </dataValidation>
    <dataValidation imeMode="off" operator="greaterThanOrEqual" allowBlank="1" showInputMessage="1" showErrorMessage="1" sqref="G1:H1 H4:H65536 E4:E43 G44:G65536" xr:uid="{00000000-0002-0000-0100-000002000000}"/>
    <dataValidation operator="greaterThanOrEqual" allowBlank="1" showInputMessage="1" showErrorMessage="1" sqref="F4:G43" xr:uid="{00000000-0002-0000-0100-000003000000}"/>
    <dataValidation imeMode="hiragana" allowBlank="1" showInputMessage="1" showErrorMessage="1" sqref="BD4:BD43" xr:uid="{00000000-0002-0000-0100-000004000000}"/>
  </dataValidations>
  <printOptions gridLinesSet="0"/>
  <pageMargins left="0.78740157480314965" right="0.19685039370078741" top="0.39370078740157483" bottom="0.19685039370078741" header="0.51181102362204722" footer="0.51181102362204722"/>
  <pageSetup paperSize="9" orientation="portrait" blackAndWhite="1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50"/>
    <pageSetUpPr fitToPage="1"/>
  </sheetPr>
  <dimension ref="A1:X61"/>
  <sheetViews>
    <sheetView zoomScale="75" workbookViewId="0">
      <selection activeCell="K16" sqref="K16"/>
    </sheetView>
  </sheetViews>
  <sheetFormatPr defaultColWidth="8.7109375" defaultRowHeight="12"/>
  <cols>
    <col min="1" max="1" width="13.7109375" customWidth="1"/>
    <col min="2" max="9" width="11.140625" customWidth="1"/>
  </cols>
  <sheetData>
    <row r="1" spans="1:24" ht="21">
      <c r="A1" s="247" t="s">
        <v>94</v>
      </c>
      <c r="B1" s="247"/>
      <c r="C1" s="247"/>
      <c r="D1" s="247"/>
      <c r="E1" s="247"/>
      <c r="F1" s="247"/>
      <c r="G1" s="247"/>
      <c r="H1" s="101"/>
      <c r="I1" s="101"/>
      <c r="J1" s="101"/>
    </row>
    <row r="2" spans="1:24" ht="12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24" ht="19.899999999999999" customHeight="1" thickBot="1">
      <c r="A3" s="184" t="s">
        <v>95</v>
      </c>
      <c r="B3" s="185">
        <v>3</v>
      </c>
      <c r="C3" s="106"/>
      <c r="D3" s="106"/>
      <c r="E3" s="106"/>
      <c r="F3" s="106"/>
      <c r="G3" s="106"/>
      <c r="H3" s="101"/>
      <c r="I3" s="101"/>
      <c r="J3" s="101"/>
    </row>
    <row r="4" spans="1:24" ht="19.899999999999999" customHeight="1" thickTop="1">
      <c r="A4" s="248" t="s">
        <v>86</v>
      </c>
      <c r="B4" s="249"/>
      <c r="C4" s="250"/>
      <c r="D4" s="186" t="s">
        <v>1</v>
      </c>
      <c r="E4" s="187" t="s">
        <v>2</v>
      </c>
      <c r="F4" s="188"/>
      <c r="G4" s="189" t="s">
        <v>17</v>
      </c>
      <c r="H4" s="190" t="s">
        <v>3</v>
      </c>
      <c r="I4" s="191" t="s">
        <v>18</v>
      </c>
      <c r="J4" s="101"/>
      <c r="Q4" t="s">
        <v>136</v>
      </c>
    </row>
    <row r="5" spans="1:24" ht="21" customHeight="1" thickBot="1">
      <c r="A5" s="243" t="str">
        <f>IF($B$3="","",VLOOKUP($B$3,記録表,2))</f>
        <v>A003</v>
      </c>
      <c r="B5" s="244"/>
      <c r="C5" s="245"/>
      <c r="D5" s="192">
        <f>IF($B$3="","",VLOOKUP($B$3,記録表,4))</f>
        <v>0</v>
      </c>
      <c r="E5" s="193">
        <f>IF($B$3="","",VLOOKUP($B$3,記録表,5))</f>
        <v>11</v>
      </c>
      <c r="F5" s="188"/>
      <c r="G5" s="194">
        <f>IF($B$3="","",VLOOKUP($B$3,記録表,22))</f>
        <v>0</v>
      </c>
      <c r="H5" s="195">
        <f ca="1">IF($B$3="","",VLOOKUP($B$3,記録表,23))</f>
        <v>0</v>
      </c>
      <c r="I5" s="196" t="str">
        <f>IF($B$3="","",VLOOKUP($B$3,記録表,24))</f>
        <v>-----</v>
      </c>
      <c r="J5" s="101"/>
    </row>
    <row r="6" spans="1:24" ht="19.899999999999999" customHeight="1" thickTop="1" thickBot="1">
      <c r="A6" s="106"/>
      <c r="B6" s="106"/>
      <c r="C6" s="106"/>
      <c r="D6" s="106"/>
      <c r="E6" s="106"/>
      <c r="F6" s="106"/>
      <c r="G6" s="106"/>
      <c r="H6" s="101"/>
      <c r="I6" s="101"/>
      <c r="J6" s="101"/>
      <c r="Q6" s="7">
        <v>2018</v>
      </c>
      <c r="R6" s="7" t="s">
        <v>174</v>
      </c>
      <c r="S6" s="246" t="s">
        <v>175</v>
      </c>
      <c r="T6" s="246"/>
    </row>
    <row r="7" spans="1:24" ht="36" customHeight="1" thickTop="1" thickBot="1">
      <c r="A7" s="197"/>
      <c r="B7" s="198" t="s">
        <v>61</v>
      </c>
      <c r="C7" s="199" t="s">
        <v>23</v>
      </c>
      <c r="D7" s="199" t="s">
        <v>62</v>
      </c>
      <c r="E7" s="199" t="s">
        <v>63</v>
      </c>
      <c r="F7" s="199" t="s">
        <v>130</v>
      </c>
      <c r="G7" s="199" t="s">
        <v>64</v>
      </c>
      <c r="H7" s="199" t="s">
        <v>131</v>
      </c>
      <c r="I7" s="200" t="s">
        <v>65</v>
      </c>
      <c r="J7" s="101"/>
      <c r="N7" s="179"/>
      <c r="O7" s="179"/>
      <c r="P7" s="183"/>
      <c r="Q7" s="180" t="s">
        <v>61</v>
      </c>
      <c r="R7" s="181" t="s">
        <v>23</v>
      </c>
      <c r="S7" s="181" t="s">
        <v>62</v>
      </c>
      <c r="T7" s="181" t="s">
        <v>63</v>
      </c>
      <c r="U7" s="181" t="s">
        <v>66</v>
      </c>
      <c r="V7" s="181" t="s">
        <v>64</v>
      </c>
      <c r="W7" s="181" t="s">
        <v>34</v>
      </c>
      <c r="X7" s="182" t="s">
        <v>65</v>
      </c>
    </row>
    <row r="8" spans="1:24" ht="19.899999999999999" customHeight="1" thickTop="1">
      <c r="A8" s="201" t="s">
        <v>15</v>
      </c>
      <c r="B8" s="202" t="str">
        <f>IF($B$3="","",VLOOKUP($B$3,記録表,6)&amp;"kg")</f>
        <v>kg</v>
      </c>
      <c r="C8" s="203" t="str">
        <f>IF($B$3="","",VLOOKUP($B$3,記録表,7)&amp;"回")</f>
        <v>回</v>
      </c>
      <c r="D8" s="203" t="str">
        <f>IF($B$3="","",VLOOKUP($B$3,記録表,8)&amp;"cm")</f>
        <v>cm</v>
      </c>
      <c r="E8" s="203" t="str">
        <f>IF($B$3="","",VLOOKUP($B$3,記録表,9)&amp;"点")</f>
        <v>点</v>
      </c>
      <c r="F8" s="204" t="str">
        <f>IF($B$3="","",VLOOKUP($B$3,記録表,10)&amp;"回")</f>
        <v>回</v>
      </c>
      <c r="G8" s="205" t="str">
        <f>IF($B$3="","",VLOOKUP($B$3,記録表,11)&amp;"秒")</f>
        <v>秒</v>
      </c>
      <c r="H8" s="206" t="str">
        <f>IF($B$3="","",VLOOKUP($B$3,記録表,12)&amp;"cm")</f>
        <v>cm</v>
      </c>
      <c r="I8" s="207" t="str">
        <f>IF($B$3="","",VLOOKUP($B$3,記録表,13)&amp;"m")</f>
        <v>m</v>
      </c>
      <c r="J8" s="101"/>
      <c r="N8" s="179" t="s">
        <v>168</v>
      </c>
      <c r="O8" s="179"/>
      <c r="P8" s="179" t="s">
        <v>133</v>
      </c>
      <c r="Q8" s="179">
        <v>9.1</v>
      </c>
      <c r="R8" s="179">
        <v>11.3</v>
      </c>
      <c r="S8" s="179">
        <v>25.8</v>
      </c>
      <c r="T8" s="179">
        <v>26.6</v>
      </c>
      <c r="U8" s="179">
        <v>17.399999999999999</v>
      </c>
      <c r="V8" s="179">
        <v>11.5</v>
      </c>
      <c r="W8" s="179">
        <v>111.7</v>
      </c>
      <c r="X8" s="179">
        <v>7.7</v>
      </c>
    </row>
    <row r="9" spans="1:24" ht="19.899999999999999" customHeight="1" thickBot="1">
      <c r="A9" s="208" t="s">
        <v>16</v>
      </c>
      <c r="B9" s="209" t="str">
        <f ca="1">IF($B$3="","",VLOOKUP($B$3,記録表,14))</f>
        <v/>
      </c>
      <c r="C9" s="209" t="str">
        <f ca="1">IF($B$3="","",VLOOKUP($B$3,記録表,15))</f>
        <v/>
      </c>
      <c r="D9" s="209" t="str">
        <f ca="1">IF($B$3="","",VLOOKUP($B$3,記録表,16))</f>
        <v/>
      </c>
      <c r="E9" s="209" t="str">
        <f ca="1">IF($B$3="","",VLOOKUP($B$3,記録表,17))</f>
        <v/>
      </c>
      <c r="F9" s="209" t="str">
        <f ca="1">IF($B$3="","",VLOOKUP($B$3,記録表,18))</f>
        <v/>
      </c>
      <c r="G9" s="210" t="str">
        <f ca="1">IF($B$3="","",VLOOKUP($B$3,記録表,19))</f>
        <v/>
      </c>
      <c r="H9" s="209" t="str">
        <f ca="1">IF($B$3="","",VLOOKUP($B$3,記録表,20))</f>
        <v/>
      </c>
      <c r="I9" s="211" t="str">
        <f ca="1">IF($B$3="","",VLOOKUP($B$3,記録表,21))</f>
        <v/>
      </c>
      <c r="J9" s="101"/>
      <c r="N9" s="179"/>
      <c r="O9" s="179"/>
      <c r="P9" s="179" t="s">
        <v>134</v>
      </c>
      <c r="Q9" s="179">
        <v>8.5</v>
      </c>
      <c r="R9" s="179">
        <v>10.8</v>
      </c>
      <c r="S9" s="179">
        <v>28.4</v>
      </c>
      <c r="T9" s="179">
        <v>25.6</v>
      </c>
      <c r="U9" s="179">
        <v>14.3</v>
      </c>
      <c r="V9" s="179">
        <v>11.8</v>
      </c>
      <c r="W9" s="179">
        <v>104.3</v>
      </c>
      <c r="X9" s="179">
        <v>5.3</v>
      </c>
    </row>
    <row r="10" spans="1:24" ht="12.75" thickTop="1">
      <c r="A10" s="178" t="s">
        <v>176</v>
      </c>
      <c r="B10" s="101">
        <f t="shared" ref="B10:I10" si="0">IF($E5=6,IF($D5="男",Q8,Q9),IF($E5=7,IF($D5="男",Q11,Q12),IF($E5=8,IF($D5="男",Q14,Q15),IF($E5=9,IF($D5="男",Q17,Q18),IF($E5=10,IF($D5="男",Q20,Q21),IF($E5=11,IF($D5="男",Q23,Q24),""))))))</f>
        <v>19.100000000000001</v>
      </c>
      <c r="C10" s="101">
        <f t="shared" si="0"/>
        <v>20.6</v>
      </c>
      <c r="D10" s="101">
        <f t="shared" si="0"/>
        <v>41.2</v>
      </c>
      <c r="E10" s="101">
        <f t="shared" si="0"/>
        <v>43</v>
      </c>
      <c r="F10" s="101">
        <f t="shared" si="0"/>
        <v>46.2</v>
      </c>
      <c r="G10" s="101">
        <f t="shared" si="0"/>
        <v>9.1</v>
      </c>
      <c r="H10" s="101">
        <f t="shared" si="0"/>
        <v>154.30000000000001</v>
      </c>
      <c r="I10" s="101">
        <f t="shared" si="0"/>
        <v>14.9</v>
      </c>
      <c r="J10" s="101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24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N11" s="179" t="s">
        <v>169</v>
      </c>
      <c r="O11" s="179"/>
      <c r="P11" s="179" t="s">
        <v>20</v>
      </c>
      <c r="Q11" s="179">
        <v>10.8</v>
      </c>
      <c r="R11" s="179">
        <v>14.1</v>
      </c>
      <c r="S11" s="179">
        <v>27.5</v>
      </c>
      <c r="T11" s="179">
        <v>30.6</v>
      </c>
      <c r="U11" s="179">
        <v>27.3</v>
      </c>
      <c r="V11" s="179">
        <v>10.5</v>
      </c>
      <c r="W11" s="179">
        <v>123.4</v>
      </c>
      <c r="X11" s="179">
        <v>11.2</v>
      </c>
    </row>
    <row r="12" spans="1:24" ht="24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N12" s="179"/>
      <c r="O12" s="179"/>
      <c r="P12" s="179" t="s">
        <v>21</v>
      </c>
      <c r="Q12" s="179">
        <v>10.199999999999999</v>
      </c>
      <c r="R12" s="179">
        <v>13.6</v>
      </c>
      <c r="S12" s="179">
        <v>30.7</v>
      </c>
      <c r="T12" s="179">
        <v>29.4</v>
      </c>
      <c r="U12" s="179">
        <v>20.8</v>
      </c>
      <c r="V12" s="179">
        <v>10.9</v>
      </c>
      <c r="W12" s="179">
        <v>115.7</v>
      </c>
      <c r="X12" s="179">
        <v>7.1</v>
      </c>
    </row>
    <row r="13" spans="1:24" ht="24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</row>
    <row r="14" spans="1:24" ht="24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N14" s="179" t="s">
        <v>170</v>
      </c>
      <c r="O14" s="179"/>
      <c r="P14" s="179" t="s">
        <v>20</v>
      </c>
      <c r="Q14" s="179">
        <v>12.7</v>
      </c>
      <c r="R14" s="179">
        <v>16.3</v>
      </c>
      <c r="S14" s="179">
        <v>29.5</v>
      </c>
      <c r="T14" s="179">
        <v>34.299999999999997</v>
      </c>
      <c r="U14" s="179">
        <v>35.799999999999997</v>
      </c>
      <c r="V14" s="179">
        <v>10</v>
      </c>
      <c r="W14" s="179">
        <v>133.9</v>
      </c>
      <c r="X14" s="179">
        <v>14.8</v>
      </c>
    </row>
    <row r="15" spans="1:24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N15" s="179"/>
      <c r="O15" s="179"/>
      <c r="P15" s="179" t="s">
        <v>21</v>
      </c>
      <c r="Q15" s="179">
        <v>11.9</v>
      </c>
      <c r="R15" s="179">
        <v>15.7</v>
      </c>
      <c r="S15" s="179">
        <v>33.1</v>
      </c>
      <c r="T15" s="179">
        <v>32.6</v>
      </c>
      <c r="U15" s="179">
        <v>26.5</v>
      </c>
      <c r="V15" s="179">
        <v>10.3</v>
      </c>
      <c r="W15" s="179">
        <v>126.2</v>
      </c>
      <c r="X15" s="179">
        <v>9</v>
      </c>
    </row>
    <row r="16" spans="1:24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</row>
    <row r="17" spans="1:24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N17" s="179" t="s">
        <v>171</v>
      </c>
      <c r="O17" s="179"/>
      <c r="P17" s="179" t="s">
        <v>20</v>
      </c>
      <c r="Q17" s="179">
        <v>14.6</v>
      </c>
      <c r="R17" s="179">
        <v>18.399999999999999</v>
      </c>
      <c r="S17" s="179">
        <v>31.3</v>
      </c>
      <c r="T17" s="179">
        <v>38.4</v>
      </c>
      <c r="U17" s="179">
        <v>44</v>
      </c>
      <c r="V17" s="179">
        <v>9.6</v>
      </c>
      <c r="W17" s="179">
        <v>142.6</v>
      </c>
      <c r="X17" s="179">
        <v>18.399999999999999</v>
      </c>
    </row>
    <row r="18" spans="1:24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N18" s="179"/>
      <c r="O18" s="179"/>
      <c r="P18" s="179" t="s">
        <v>21</v>
      </c>
      <c r="Q18" s="179">
        <v>13.8</v>
      </c>
      <c r="R18" s="179">
        <v>17.8</v>
      </c>
      <c r="S18" s="179">
        <v>35.4</v>
      </c>
      <c r="T18" s="179">
        <v>36.700000000000003</v>
      </c>
      <c r="U18" s="179">
        <v>33.4</v>
      </c>
      <c r="V18" s="179">
        <v>9.9</v>
      </c>
      <c r="W18" s="179">
        <v>135.80000000000001</v>
      </c>
      <c r="X18" s="179">
        <v>11</v>
      </c>
    </row>
    <row r="19" spans="1:24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</row>
    <row r="20" spans="1:24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N20" s="179" t="s">
        <v>172</v>
      </c>
      <c r="O20" s="179"/>
      <c r="P20" s="179" t="s">
        <v>20</v>
      </c>
      <c r="Q20" s="179">
        <v>16.600000000000001</v>
      </c>
      <c r="R20" s="179">
        <v>20.3</v>
      </c>
      <c r="S20" s="179">
        <v>33.5</v>
      </c>
      <c r="T20" s="179">
        <v>42.1</v>
      </c>
      <c r="U20" s="179">
        <v>51.7</v>
      </c>
      <c r="V20" s="179">
        <v>9.1999999999999993</v>
      </c>
      <c r="W20" s="179">
        <v>151.69999999999999</v>
      </c>
      <c r="X20" s="179">
        <v>21.8</v>
      </c>
    </row>
    <row r="21" spans="1:24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N21" s="179"/>
      <c r="O21" s="179"/>
      <c r="P21" s="179" t="s">
        <v>21</v>
      </c>
      <c r="Q21" s="179">
        <v>16.2</v>
      </c>
      <c r="R21" s="179">
        <v>19.399999999999999</v>
      </c>
      <c r="S21" s="179">
        <v>38.200000000000003</v>
      </c>
      <c r="T21" s="179">
        <v>40.4</v>
      </c>
      <c r="U21" s="179">
        <v>40.5</v>
      </c>
      <c r="V21" s="179">
        <v>9.5</v>
      </c>
      <c r="W21" s="179">
        <v>145.5</v>
      </c>
      <c r="X21" s="179">
        <v>13.1</v>
      </c>
    </row>
    <row r="22" spans="1:24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</row>
    <row r="23" spans="1:24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N23" s="179" t="s">
        <v>173</v>
      </c>
      <c r="O23" s="179"/>
      <c r="P23" s="179" t="s">
        <v>20</v>
      </c>
      <c r="Q23" s="179">
        <v>19.399999999999999</v>
      </c>
      <c r="R23" s="179">
        <v>22.1</v>
      </c>
      <c r="S23" s="179">
        <v>35.9</v>
      </c>
      <c r="T23" s="179">
        <v>45.3</v>
      </c>
      <c r="U23" s="179">
        <v>59.1</v>
      </c>
      <c r="V23" s="179">
        <v>8.8000000000000007</v>
      </c>
      <c r="W23" s="179">
        <v>162.19999999999999</v>
      </c>
      <c r="X23" s="179">
        <v>25.3</v>
      </c>
    </row>
    <row r="24" spans="1:24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N24" s="179"/>
      <c r="O24" s="179"/>
      <c r="P24" s="179" t="s">
        <v>21</v>
      </c>
      <c r="Q24" s="179">
        <v>19.100000000000001</v>
      </c>
      <c r="R24" s="179">
        <v>20.6</v>
      </c>
      <c r="S24" s="179">
        <v>41.2</v>
      </c>
      <c r="T24" s="179">
        <v>43</v>
      </c>
      <c r="U24" s="179">
        <v>46.2</v>
      </c>
      <c r="V24" s="179">
        <v>9.1</v>
      </c>
      <c r="W24" s="179">
        <v>154.30000000000001</v>
      </c>
      <c r="X24" s="179">
        <v>14.9</v>
      </c>
    </row>
    <row r="25" spans="1:24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24" ht="43.9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24" ht="21">
      <c r="A27" s="247" t="s">
        <v>94</v>
      </c>
      <c r="B27" s="247"/>
      <c r="C27" s="247"/>
      <c r="D27" s="247"/>
      <c r="E27" s="247"/>
      <c r="F27" s="247"/>
      <c r="G27" s="247"/>
      <c r="H27" s="101"/>
      <c r="I27" s="101"/>
      <c r="J27" s="101"/>
    </row>
    <row r="28" spans="1:24" ht="12.75" thickBo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24" ht="19.899999999999999" customHeight="1" thickBot="1">
      <c r="A29" s="184" t="s">
        <v>95</v>
      </c>
      <c r="B29" s="185">
        <f>B3+1</f>
        <v>4</v>
      </c>
      <c r="C29" s="106"/>
      <c r="D29" s="106"/>
      <c r="E29" s="106"/>
      <c r="F29" s="106"/>
      <c r="G29" s="106"/>
      <c r="H29" s="101"/>
      <c r="I29" s="101"/>
      <c r="J29" s="101"/>
    </row>
    <row r="30" spans="1:24" ht="19.899999999999999" customHeight="1" thickTop="1">
      <c r="A30" s="248" t="s">
        <v>86</v>
      </c>
      <c r="B30" s="249"/>
      <c r="C30" s="250"/>
      <c r="D30" s="186" t="s">
        <v>1</v>
      </c>
      <c r="E30" s="187" t="s">
        <v>2</v>
      </c>
      <c r="F30" s="188"/>
      <c r="G30" s="189" t="s">
        <v>17</v>
      </c>
      <c r="H30" s="190" t="s">
        <v>3</v>
      </c>
      <c r="I30" s="191" t="s">
        <v>18</v>
      </c>
      <c r="J30" s="101"/>
    </row>
    <row r="31" spans="1:24" ht="21" customHeight="1" thickBot="1">
      <c r="A31" s="243" t="str">
        <f>IF($B$29="","",VLOOKUP($B$29,記録表,2))</f>
        <v>A004</v>
      </c>
      <c r="B31" s="244"/>
      <c r="C31" s="245"/>
      <c r="D31" s="192">
        <f>IF($B$3="","",VLOOKUP($B$29,記録表,4))</f>
        <v>0</v>
      </c>
      <c r="E31" s="193">
        <f>IF($B$3="","",VLOOKUP($B$29,記録表,5))</f>
        <v>11</v>
      </c>
      <c r="F31" s="188"/>
      <c r="G31" s="194">
        <f>IF($B$3="","",VLOOKUP($B$29,記録表,22))</f>
        <v>0</v>
      </c>
      <c r="H31" s="195">
        <f ca="1">IF($B$3="","",VLOOKUP($B$29,記録表,23))</f>
        <v>0</v>
      </c>
      <c r="I31" s="196" t="str">
        <f>IF($B$3="","",VLOOKUP($B$29,記録表,24))</f>
        <v>-----</v>
      </c>
      <c r="J31" s="101"/>
    </row>
    <row r="32" spans="1:24" ht="19.899999999999999" customHeight="1" thickTop="1" thickBot="1">
      <c r="A32" s="106"/>
      <c r="B32" s="106"/>
      <c r="C32" s="106"/>
      <c r="D32" s="106"/>
      <c r="E32" s="106"/>
      <c r="F32" s="106"/>
      <c r="G32" s="106"/>
      <c r="H32" s="101"/>
      <c r="I32" s="101"/>
      <c r="J32" s="101"/>
    </row>
    <row r="33" spans="1:10" ht="36" customHeight="1" thickTop="1" thickBot="1">
      <c r="A33" s="197"/>
      <c r="B33" s="198" t="s">
        <v>61</v>
      </c>
      <c r="C33" s="199" t="s">
        <v>23</v>
      </c>
      <c r="D33" s="199" t="s">
        <v>62</v>
      </c>
      <c r="E33" s="199" t="s">
        <v>63</v>
      </c>
      <c r="F33" s="199" t="s">
        <v>130</v>
      </c>
      <c r="G33" s="199" t="s">
        <v>64</v>
      </c>
      <c r="H33" s="199" t="s">
        <v>131</v>
      </c>
      <c r="I33" s="200" t="s">
        <v>65</v>
      </c>
      <c r="J33" s="101"/>
    </row>
    <row r="34" spans="1:10" ht="19.899999999999999" customHeight="1" thickTop="1">
      <c r="A34" s="201" t="s">
        <v>15</v>
      </c>
      <c r="B34" s="203" t="str">
        <f>IF($B$29="","",VLOOKUP($B$29,記録表,6)&amp;"kg")</f>
        <v>kg</v>
      </c>
      <c r="C34" s="203" t="str">
        <f>IF($B$29="","",VLOOKUP($B$29,記録表,7)&amp;"回")</f>
        <v>回</v>
      </c>
      <c r="D34" s="203" t="str">
        <f>IF($B$29="","",VLOOKUP($B$29,記録表,8)&amp;"cm")</f>
        <v>cm</v>
      </c>
      <c r="E34" s="203" t="str">
        <f>IF($B$29="","",VLOOKUP($B$29,記録表,9)&amp;"点")</f>
        <v>点</v>
      </c>
      <c r="F34" s="204" t="str">
        <f>IF($B$29="","",VLOOKUP($B$29,記録表,10)&amp;"回")</f>
        <v>回</v>
      </c>
      <c r="G34" s="205" t="str">
        <f>IF($B$29="","",VLOOKUP($B$29,記録表,11)&amp;"秒")</f>
        <v>秒</v>
      </c>
      <c r="H34" s="206" t="str">
        <f>IF($B$29="","",VLOOKUP($B$29,記録表,12)&amp;"cm")</f>
        <v>cm</v>
      </c>
      <c r="I34" s="207" t="str">
        <f>IF($B$29="","",VLOOKUP($B$29,記録表,13)&amp;"m")</f>
        <v>m</v>
      </c>
      <c r="J34" s="101"/>
    </row>
    <row r="35" spans="1:10" ht="19.899999999999999" customHeight="1" thickBot="1">
      <c r="A35" s="208" t="s">
        <v>16</v>
      </c>
      <c r="B35" s="209" t="str">
        <f ca="1">IF($B$29="","",VLOOKUP($B$29,記録表,14))</f>
        <v/>
      </c>
      <c r="C35" s="209" t="str">
        <f ca="1">IF($B$29="","",VLOOKUP($B$29,記録表,15))</f>
        <v/>
      </c>
      <c r="D35" s="209" t="str">
        <f ca="1">IF($B$29="","",VLOOKUP($B$29,記録表,16))</f>
        <v/>
      </c>
      <c r="E35" s="209" t="str">
        <f ca="1">IF($B$29="","",VLOOKUP($B$29,記録表,17))</f>
        <v/>
      </c>
      <c r="F35" s="209" t="str">
        <f ca="1">IF($B$29="","",VLOOKUP($B$29,記録表,18))</f>
        <v/>
      </c>
      <c r="G35" s="210" t="str">
        <f ca="1">IF($B$29="","",VLOOKUP($B$29,記録表,19))</f>
        <v/>
      </c>
      <c r="H35" s="209" t="str">
        <f ca="1">IF($B$29="","",VLOOKUP($B$29,記録表,20))</f>
        <v/>
      </c>
      <c r="I35" s="211" t="str">
        <f ca="1">IF($B$29="","",VLOOKUP($B$29,記録表,21))</f>
        <v/>
      </c>
      <c r="J35" s="101"/>
    </row>
    <row r="36" spans="1:10" ht="12.75" thickTop="1">
      <c r="A36" s="178" t="s">
        <v>176</v>
      </c>
      <c r="B36" s="101">
        <f t="shared" ref="B36:I36" si="1">IF($E31=6,IF($D31="男",Q8,Q9),IF($E31=7,IF($D31="男",Q11,Q12),IF($E31=8,IF($D31="男",Q14,Q15),IF($E31=9,IF($D31="男",Q17,Q18),IF($E31=10,IF($D31="男",Q20,Q21),IF($E31=11,IF($D31="男",Q23,Q24),""))))))</f>
        <v>19.100000000000001</v>
      </c>
      <c r="C36" s="101">
        <f t="shared" si="1"/>
        <v>20.6</v>
      </c>
      <c r="D36" s="101">
        <f t="shared" si="1"/>
        <v>41.2</v>
      </c>
      <c r="E36" s="101">
        <f t="shared" si="1"/>
        <v>43</v>
      </c>
      <c r="F36" s="101">
        <f t="shared" si="1"/>
        <v>46.2</v>
      </c>
      <c r="G36" s="101">
        <f t="shared" si="1"/>
        <v>9.1</v>
      </c>
      <c r="H36" s="101">
        <f t="shared" si="1"/>
        <v>154.30000000000001</v>
      </c>
      <c r="I36" s="101">
        <f t="shared" si="1"/>
        <v>14.9</v>
      </c>
      <c r="J36" s="101"/>
    </row>
    <row r="37" spans="1:10" ht="24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24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24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24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>
      <c r="A47" s="101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>
      <c r="A49" s="101"/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>
      <c r="A50" s="101"/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>
      <c r="A53" s="101"/>
      <c r="B53" s="101"/>
      <c r="C53" s="101"/>
      <c r="D53" s="101"/>
      <c r="E53" s="101"/>
      <c r="F53" s="101"/>
      <c r="G53" s="101"/>
      <c r="H53" s="101"/>
      <c r="I53" s="101"/>
      <c r="J53" s="101"/>
    </row>
    <row r="54" spans="1:10">
      <c r="A54" s="101"/>
      <c r="B54" s="101"/>
      <c r="C54" s="101"/>
      <c r="D54" s="101"/>
      <c r="E54" s="101"/>
      <c r="F54" s="101"/>
      <c r="G54" s="101"/>
      <c r="H54" s="101"/>
      <c r="I54" s="101"/>
    </row>
    <row r="55" spans="1:10">
      <c r="A55" s="101"/>
      <c r="B55" s="101"/>
      <c r="C55" s="101"/>
      <c r="D55" s="101"/>
      <c r="E55" s="101"/>
      <c r="F55" s="101"/>
      <c r="G55" s="101"/>
      <c r="H55" s="101"/>
      <c r="I55" s="101"/>
    </row>
    <row r="56" spans="1:10">
      <c r="A56" s="101"/>
      <c r="B56" s="101"/>
      <c r="C56" s="101"/>
      <c r="D56" s="101"/>
      <c r="E56" s="101"/>
      <c r="F56" s="101"/>
      <c r="G56" s="101"/>
      <c r="H56" s="101"/>
      <c r="I56" s="101"/>
    </row>
    <row r="57" spans="1:10">
      <c r="A57" s="101"/>
      <c r="B57" s="101"/>
      <c r="C57" s="101"/>
      <c r="D57" s="101"/>
      <c r="E57" s="101"/>
      <c r="F57" s="101"/>
      <c r="G57" s="101"/>
      <c r="H57" s="101"/>
      <c r="I57" s="101"/>
    </row>
    <row r="58" spans="1:10">
      <c r="A58" s="101"/>
      <c r="B58" s="101"/>
      <c r="C58" s="101"/>
      <c r="D58" s="101"/>
      <c r="E58" s="101"/>
      <c r="F58" s="101"/>
      <c r="G58" s="101"/>
      <c r="H58" s="101"/>
      <c r="I58" s="101"/>
    </row>
    <row r="59" spans="1:10">
      <c r="A59" s="101"/>
      <c r="B59" s="101"/>
      <c r="C59" s="101"/>
      <c r="D59" s="101"/>
      <c r="E59" s="101"/>
      <c r="F59" s="101"/>
      <c r="G59" s="101"/>
      <c r="H59" s="101"/>
      <c r="I59" s="101"/>
    </row>
    <row r="60" spans="1:10">
      <c r="A60" s="101"/>
      <c r="B60" s="101"/>
      <c r="C60" s="101"/>
      <c r="D60" s="101"/>
      <c r="E60" s="101"/>
      <c r="F60" s="101"/>
      <c r="G60" s="101"/>
      <c r="H60" s="101"/>
      <c r="I60" s="101"/>
    </row>
    <row r="61" spans="1:10">
      <c r="A61" s="101"/>
      <c r="B61" s="101"/>
      <c r="C61" s="101"/>
      <c r="D61" s="101"/>
      <c r="E61" s="101"/>
      <c r="F61" s="101"/>
      <c r="G61" s="101"/>
      <c r="H61" s="101"/>
      <c r="I61" s="101"/>
    </row>
  </sheetData>
  <mergeCells count="7">
    <mergeCell ref="A31:C31"/>
    <mergeCell ref="S6:T6"/>
    <mergeCell ref="A1:G1"/>
    <mergeCell ref="A5:C5"/>
    <mergeCell ref="A4:C4"/>
    <mergeCell ref="A27:G27"/>
    <mergeCell ref="A30:C30"/>
  </mergeCells>
  <phoneticPr fontId="1"/>
  <printOptions gridLinesSet="0"/>
  <pageMargins left="0.78740157480314965" right="0.78740157480314965" top="0.39370078740157483" bottom="0.39370078740157483" header="0.51181102362204722" footer="0.51181102362204722"/>
  <pageSetup paperSize="9" scale="91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64" r:id="rId4" name="SpinButton1">
          <controlPr defaultSize="0" autoLine="0" linkedCell="B3" r:id="rId5">
            <anchor moveWithCells="1">
              <from>
                <xdr:col>10</xdr:col>
                <xdr:colOff>342900</xdr:colOff>
                <xdr:row>3</xdr:row>
                <xdr:rowOff>85725</xdr:rowOff>
              </from>
              <to>
                <xdr:col>11</xdr:col>
                <xdr:colOff>238125</xdr:colOff>
                <xdr:row>6</xdr:row>
                <xdr:rowOff>66675</xdr:rowOff>
              </to>
            </anchor>
          </controlPr>
        </control>
      </mc:Choice>
      <mc:Fallback>
        <control shapeId="1064" r:id="rId4" name="Spin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FFFF00"/>
  </sheetPr>
  <dimension ref="A2:AN47"/>
  <sheetViews>
    <sheetView workbookViewId="0">
      <selection activeCell="AM29" sqref="AM29"/>
    </sheetView>
  </sheetViews>
  <sheetFormatPr defaultRowHeight="12"/>
  <cols>
    <col min="1" max="1" width="3" customWidth="1"/>
    <col min="2" max="2" width="3.7109375" customWidth="1"/>
    <col min="3" max="8" width="3" customWidth="1"/>
    <col min="9" max="9" width="3.28515625" customWidth="1"/>
    <col min="10" max="19" width="3" customWidth="1"/>
    <col min="20" max="20" width="2.7109375" customWidth="1"/>
    <col min="21" max="25" width="3" customWidth="1"/>
    <col min="26" max="26" width="2.85546875" customWidth="1"/>
    <col min="27" max="28" width="3" customWidth="1"/>
    <col min="29" max="34" width="2.85546875" customWidth="1"/>
    <col min="35" max="36" width="9.140625" style="111"/>
    <col min="37" max="37" width="1.140625" style="111" customWidth="1"/>
    <col min="38" max="38" width="26.140625" style="111" customWidth="1"/>
    <col min="39" max="40" width="9.140625" style="111"/>
  </cols>
  <sheetData>
    <row r="2" spans="1:38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8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8" ht="24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J4" s="112">
        <v>1</v>
      </c>
      <c r="AK4" s="113"/>
      <c r="AL4" s="114" t="str">
        <f>J25</f>
        <v>A001</v>
      </c>
    </row>
    <row r="5" spans="1:38" ht="21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6" t="str">
        <f>IF(VLOOKUP($AJ$4,測定結果!$A$4:$AQ$43,29)&gt;=VLOOKUP($AJ$4,測定結果!$A$4:$AQ$43,30),"○","")</f>
        <v>○</v>
      </c>
      <c r="P5" s="101"/>
      <c r="Q5" s="102">
        <f>INT(VLOOKUP($AJ$4,測定結果!$A$4:$BF$43,29)/10)</f>
        <v>0</v>
      </c>
      <c r="R5" s="102">
        <f>VLOOKUP($AJ$4,測定結果!$A$4:$BF$43,29)-INT(VLOOKUP($AJ$4,測定結果!$A$4:$BF$43,29)/10)*10</f>
        <v>0</v>
      </c>
      <c r="S5" s="103"/>
      <c r="T5" s="103"/>
      <c r="U5" s="103"/>
      <c r="V5" s="103"/>
      <c r="W5" s="103"/>
      <c r="X5" s="103"/>
      <c r="Y5" s="103"/>
      <c r="Z5" s="103"/>
      <c r="AA5" s="103"/>
      <c r="AB5" s="106" t="str">
        <f>IF(VLOOKUP($AJ$4,測定結果!$A$4:$AQ$43,29)&lt;VLOOKUP($AJ4,測定結果!$A$4:$AQ$43,30),"○","")</f>
        <v/>
      </c>
      <c r="AC5" s="103"/>
      <c r="AD5" s="102">
        <f>INT(VLOOKUP($AJ$4,測定結果!$A$4:$BF$43,30)/10)</f>
        <v>0</v>
      </c>
      <c r="AE5" s="102">
        <f>VLOOKUP($AJ$4,測定結果!$A$4:$BF$43,30)-INT(VLOOKUP($AJ$4,測定結果!$A$4:$BF$43,30)/10)*10</f>
        <v>0</v>
      </c>
      <c r="AF5" s="103"/>
      <c r="AG5" s="101"/>
      <c r="AH5" s="101"/>
    </row>
    <row r="6" spans="1:38" ht="6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1"/>
      <c r="AH6" s="101"/>
    </row>
    <row r="7" spans="1:38" ht="22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6" t="str">
        <f>IF(VLOOKUP($AJ$4,測定結果!$A$4:$AQ$43,31)&gt;=VLOOKUP($AJ$4,測定結果!$A$4:$AQ$43,32),"○","")</f>
        <v>○</v>
      </c>
      <c r="P7" s="101"/>
      <c r="Q7" s="102">
        <f>INT(VLOOKUP($AJ$4,測定結果!$A$4:$BF$43,31)/10)</f>
        <v>0</v>
      </c>
      <c r="R7" s="102">
        <f>VLOOKUP($AJ$4,測定結果!$A$4:$BF$43,31)-INT(VLOOKUP($AJ$4,測定結果!$A$4:$BF$43,31)/10)*10</f>
        <v>0</v>
      </c>
      <c r="S7" s="103"/>
      <c r="T7" s="103"/>
      <c r="U7" s="103"/>
      <c r="V7" s="103"/>
      <c r="W7" s="103"/>
      <c r="X7" s="103"/>
      <c r="Y7" s="103"/>
      <c r="Z7" s="103"/>
      <c r="AA7" s="103"/>
      <c r="AB7" s="106" t="str">
        <f>IF(VLOOKUP($AJ$4,測定結果!$A$4:$AQ$43,31)&lt;VLOOKUP($AJ$4,測定結果!$A$4:$AQ$43,32),"○","")</f>
        <v/>
      </c>
      <c r="AC7" s="103"/>
      <c r="AD7" s="102">
        <f>INT(VLOOKUP($AJ$4,測定結果!$A$4:$BF$43,32)/10)</f>
        <v>0</v>
      </c>
      <c r="AE7" s="102">
        <f>VLOOKUP($AJ$4,測定結果!$A$4:$BF$43,32)-INT(VLOOKUP($AJ$4,測定結果!$A$4:$BF$43,32)/10)*10</f>
        <v>0</v>
      </c>
      <c r="AF7" s="103"/>
      <c r="AG7" s="101"/>
      <c r="AH7" s="101"/>
    </row>
    <row r="8" spans="1:38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1"/>
      <c r="AH8" s="101"/>
    </row>
    <row r="9" spans="1:38" ht="21.7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2">
        <f>INT(VLOOKUP($AJ$4,測定結果!$A$4:$BF$43,33)/10)</f>
        <v>0</v>
      </c>
      <c r="AE9" s="102">
        <f>VLOOKUP($AJ$4,測定結果!$A$4:$BF$43,33)-INT(VLOOKUP($AJ$4,測定結果!$A$4:$BF$43,33)/10)*10</f>
        <v>0</v>
      </c>
      <c r="AF9" s="103"/>
      <c r="AG9" s="101"/>
      <c r="AH9" s="101"/>
    </row>
    <row r="10" spans="1:38" ht="6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1"/>
      <c r="AH10" s="101"/>
    </row>
    <row r="11" spans="1:38" ht="22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6" t="str">
        <f>IF(VLOOKUP($AJ$4,測定結果!$A$4:$AQ$43,34)&gt;=VLOOKUP($AJ$4,測定結果!$A$4:$AQ$43,35),"○","")</f>
        <v>○</v>
      </c>
      <c r="P11" s="101"/>
      <c r="Q11" s="102">
        <f>INT(VLOOKUP($AJ$4,測定結果!$A$4:$BF$43,34)/10)</f>
        <v>0</v>
      </c>
      <c r="R11" s="102">
        <f>VLOOKUP($AJ$4,測定結果!$A$4:$BF$43,34)-INT(VLOOKUP($AJ$4,測定結果!$A$4:$BF$43,34)/10)*10</f>
        <v>0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6" t="str">
        <f>IF(VLOOKUP($AJ$4,測定結果!$A$4:$AQ$43,34)&lt;VLOOKUP($AJ$4,測定結果!$A$4:$AQ$43,35),"○","")</f>
        <v/>
      </c>
      <c r="AC11" s="103"/>
      <c r="AD11" s="102">
        <f>INT(VLOOKUP($AJ$4,測定結果!$A$4:$BF$43,35)/10)</f>
        <v>0</v>
      </c>
      <c r="AE11" s="102">
        <f>VLOOKUP($AJ$4,測定結果!$A$4:$BF$43,35)-INT(VLOOKUP($AJ$4,測定結果!$A$4:$BF$43,35)/10)*10</f>
        <v>0</v>
      </c>
      <c r="AF11" s="103"/>
      <c r="AG11" s="101"/>
      <c r="AH11" s="101"/>
    </row>
    <row r="12" spans="1:38" ht="4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1"/>
      <c r="AH12" s="101"/>
    </row>
    <row r="13" spans="1:38" ht="23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6" t="str">
        <f>IF(VLOOKUP($AJ$4,測定結果!$A$4:$AQ$43,36)&gt;=VLOOKUP($AJ$4,測定結果!$A$4:$AQ$43,37),"○","")</f>
        <v>○</v>
      </c>
      <c r="P13" s="101"/>
      <c r="Q13" s="102">
        <f>INT(VLOOKUP($AJ$4,測定結果!$A$4:$BF$43,36)/10)</f>
        <v>0</v>
      </c>
      <c r="R13" s="102">
        <f>VLOOKUP($AJ$4,測定結果!$A$4:$BF$43,36)-INT(VLOOKUP($AJ$4,測定結果!$A$4:$BF$43,36)/10)*10</f>
        <v>0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6" t="str">
        <f>IF(VLOOKUP($AJ$4,測定結果!$A$4:$AQ$43,36)&lt;VLOOKUP($AJ$4,測定結果!$A$4:$AQ$43,37),"○","")</f>
        <v/>
      </c>
      <c r="AC13" s="103"/>
      <c r="AD13" s="102">
        <f>INT(VLOOKUP($AJ$4,測定結果!$A$4:$BF$43,37)/10)</f>
        <v>0</v>
      </c>
      <c r="AE13" s="102">
        <f>VLOOKUP($AJ$4,測定結果!$A$4:$BF$43,37)-INT(VLOOKUP($AJ$4,測定結果!$A$4:$BF$43,37)/10)*10</f>
        <v>0</v>
      </c>
      <c r="AF13" s="103"/>
      <c r="AG13" s="101"/>
      <c r="AH13" s="101"/>
    </row>
    <row r="14" spans="1:38" ht="4.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8" ht="21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3" t="s">
        <v>120</v>
      </c>
      <c r="R15" s="103" t="s">
        <v>120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>
        <f>INT(VLOOKUP($AJ$4,測定結果!$A$4:$BF$43,38)/100)</f>
        <v>0</v>
      </c>
      <c r="AD15" s="104">
        <f>INT(VLOOKUP($AJ$4,測定結果!$A$4:$BF$43,38)/10)-INT(VLOOKUP($AJ$4,測定結果!$A$4:$BF$43,38)/100)*10</f>
        <v>0</v>
      </c>
      <c r="AE15" s="104">
        <f>INT(VLOOKUP($AJ$4,測定結果!$A$4:$BF$43,38)-INT(VLOOKUP($AJ$4,測定結果!$A$4:$BF$43,38)/10)*10)</f>
        <v>0</v>
      </c>
      <c r="AF15" s="103"/>
      <c r="AG15" s="101"/>
      <c r="AH15" s="101"/>
    </row>
    <row r="16" spans="1:38" ht="6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1"/>
      <c r="AH16" s="101"/>
    </row>
    <row r="17" spans="1:34" ht="22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>
        <f>INT(VLOOKUP($AJ$4,測定結果!$A$4:$BF$43,39)/10)</f>
        <v>0</v>
      </c>
      <c r="AC17" s="104">
        <f>INT(VLOOKUP($AJ$4,測定結果!$A$4:$BF$43,39)-INT(VLOOKUP($AJ$4,測定結果!$A$4:$BF$43,39)/10)*10)</f>
        <v>0</v>
      </c>
      <c r="AD17" s="104" t="s">
        <v>121</v>
      </c>
      <c r="AE17" s="104">
        <f>(VLOOKUP($AJ$4,測定結果!$A$4:$BF$43,39)-INT(VLOOKUP($AJ$4,測定結果!$A$4:$BF$43,39)))*10</f>
        <v>0</v>
      </c>
      <c r="AF17" s="103"/>
      <c r="AG17" s="101"/>
      <c r="AH17" s="101"/>
    </row>
    <row r="18" spans="1:34" ht="6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1"/>
      <c r="AH18" s="101"/>
    </row>
    <row r="19" spans="1:34" ht="23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6" t="str">
        <f>IF(VLOOKUP($AJ$4,測定結果!$A$4:$AQ$43,40)&gt;=VLOOKUP($AJ$4,測定結果!$A$4:$AQ$43,41),"○","")</f>
        <v>○</v>
      </c>
      <c r="P19" s="105">
        <f>INT(VLOOKUP($AJ$4,測定結果!$A$4:$BF$43,40)/100)</f>
        <v>0</v>
      </c>
      <c r="Q19" s="105">
        <f>INT(VLOOKUP($AJ$4,測定結果!$A$4:$BF$43,40)/10)-INT(VLOOKUP($AJ$4,測定結果!$A$4:$BF$43,40)/100)*10</f>
        <v>0</v>
      </c>
      <c r="R19" s="105">
        <f>INT(VLOOKUP($AJ$4,測定結果!$A$4:$BF$43,40)-INT(VLOOKUP($AJ$4,測定結果!$A$4:$BF$43,40)/10)*10)</f>
        <v>0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6" t="str">
        <f>IF(VLOOKUP($AJ$4,測定結果!$A$4:$AQ$43,40)&lt;VLOOKUP($AJ$4,測定結果!$A$4:$AQ$43,41),"○","")</f>
        <v/>
      </c>
      <c r="AC19" s="105">
        <f>INT(VLOOKUP($AJ$4,測定結果!$A$4:$BF$43,41)/100)</f>
        <v>0</v>
      </c>
      <c r="AD19" s="105">
        <f>INT(VLOOKUP($AJ$4,測定結果!$A$4:$BF$43,41)/10)-INT(VLOOKUP($AJ$4,測定結果!$A$4:$BF$43,41)/100)*10</f>
        <v>0</v>
      </c>
      <c r="AE19" s="105">
        <f>INT(VLOOKUP($AJ$4,測定結果!$A$4:$BF$43,41)-INT(VLOOKUP($AJ$4,測定結果!$A$4:$BF$43,41)/10)*10)</f>
        <v>0</v>
      </c>
      <c r="AF19" s="103"/>
      <c r="AG19" s="101"/>
      <c r="AH19" s="101"/>
    </row>
    <row r="20" spans="1:34" ht="6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ht="23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6" t="str">
        <f>IF(VLOOKUP($AJ$4,測定結果!$A$4:$AQ$43,42)&gt;=VLOOKUP($AJ$4,測定結果!$A$4:$AQ$43,43),"○","")</f>
        <v>○</v>
      </c>
      <c r="P21" s="101"/>
      <c r="Q21" s="105">
        <f>INT(VLOOKUP($AJ$4,測定結果!$A$4:$BF$43,42)/10)-INT(VLOOKUP($AJ$4,測定結果!$A$4:$BF$43,42)/100)*10</f>
        <v>0</v>
      </c>
      <c r="R21" s="105">
        <f>INT(VLOOKUP($AJ$4,測定結果!$A$4:$BF$43,42)-INT(VLOOKUP($AJ$4,測定結果!$A$4:$BF$43,42)/10)*10)</f>
        <v>0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6" t="str">
        <f>IF(VLOOKUP($AJ$4,測定結果!$A$4:$AQ$43,42)&lt;VLOOKUP($AJ$4,測定結果!$A$4:$AQ$43,43),"○","")</f>
        <v/>
      </c>
      <c r="AC21" s="103"/>
      <c r="AD21" s="105">
        <f>INT(VLOOKUP($AJ$4,測定結果!$A$4:$BF$43,43)/10)-INT(VLOOKUP($AJ$4,測定結果!$A$4:$BF$43,43)/100)*10</f>
        <v>0</v>
      </c>
      <c r="AE21" s="105">
        <f>INT(VLOOKUP($AJ$4,測定結果!$A$4:$BF$43,43)-INT(VLOOKUP($AJ$4,測定結果!$A$4:$BF$43,43)/10)*10)</f>
        <v>0</v>
      </c>
      <c r="AF21" s="103"/>
      <c r="AG21" s="101"/>
      <c r="AH21" s="101"/>
    </row>
    <row r="22" spans="1:34" ht="30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ht="30" customHeight="1">
      <c r="A23" s="101"/>
      <c r="B23" s="155">
        <f>測定結果!E1</f>
        <v>6</v>
      </c>
      <c r="C23" s="155">
        <f>測定結果!G1</f>
        <v>2</v>
      </c>
      <c r="D23" s="104">
        <f>INT(VLOOKUP($AJ$4,測定結果!$A$4:$BF$43,1)/10)</f>
        <v>0</v>
      </c>
      <c r="E23" s="104">
        <f>VLOOKUP($AJ$4,測定結果!$A$4:$BF$43,1)-INT(VLOOKUP($AJ$4,測定結果!$A$4:$BF$43,1)/10)*10</f>
        <v>1</v>
      </c>
      <c r="F23" s="102" t="s">
        <v>121</v>
      </c>
      <c r="G23" s="106"/>
      <c r="H23" s="106"/>
      <c r="I23" s="106"/>
      <c r="J23" s="106"/>
      <c r="K23" s="251" t="s">
        <v>166</v>
      </c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106"/>
      <c r="W23" s="106"/>
      <c r="X23" s="106"/>
      <c r="Y23" s="106"/>
      <c r="Z23" s="106"/>
      <c r="AA23" s="102">
        <f>測定結果!E1</f>
        <v>6</v>
      </c>
      <c r="AB23" s="102"/>
      <c r="AC23" s="102"/>
      <c r="AD23" s="102">
        <f>測定結果!G1</f>
        <v>2</v>
      </c>
      <c r="AE23" s="102"/>
      <c r="AF23" s="216">
        <f>VLOOKUP($AJ$4,測定結果!A4:BF43,1)</f>
        <v>1</v>
      </c>
      <c r="AG23" s="216"/>
      <c r="AH23" s="101"/>
    </row>
    <row r="24" spans="1:34" ht="13.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213" t="str">
        <f>VLOOKUP($AJ$4,測定結果!A4:BF43,56)</f>
        <v/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ht="36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214" t="str">
        <f>VLOOKUP($AJ$4,測定結果!A4:BF43,2)</f>
        <v>A001</v>
      </c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101"/>
      <c r="Z25" s="101"/>
      <c r="AA25" s="101"/>
      <c r="AB25" s="252" t="str">
        <f>IF(VLOOKUP($AJ$4,測定結果!A4:BF43,4)="男","○","")</f>
        <v/>
      </c>
      <c r="AC25" s="252"/>
      <c r="AD25" s="108"/>
      <c r="AE25" s="253" t="str">
        <f>IF(VLOOKUP($AJ$4,測定結果!A4:BF43,4)="女","○","")</f>
        <v/>
      </c>
      <c r="AF25" s="253"/>
      <c r="AG25" s="253"/>
      <c r="AH25" s="101"/>
    </row>
    <row r="26" spans="1:34" ht="15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4" ht="15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</row>
    <row r="28" spans="1:34" ht="15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</row>
    <row r="29" spans="1:34" ht="15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</row>
    <row r="30" spans="1:34" ht="15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</row>
    <row r="31" spans="1:34" ht="15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</row>
    <row r="32" spans="1:34" ht="15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</row>
    <row r="33" spans="1:40" ht="15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</row>
    <row r="34" spans="1:40" ht="15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</row>
    <row r="35" spans="1:40" ht="15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</row>
    <row r="36" spans="1:40" ht="15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</row>
    <row r="37" spans="1:40" ht="15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40" ht="15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</row>
    <row r="39" spans="1:40" ht="15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40" ht="15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</row>
    <row r="41" spans="1:40" ht="15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</row>
    <row r="42" spans="1:40" ht="15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40" ht="15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40" ht="15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</row>
    <row r="45" spans="1:40" ht="15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</row>
    <row r="46" spans="1:40" ht="15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</row>
    <row r="47" spans="1:40" s="7" customFormat="1" ht="30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5"/>
      <c r="K47" s="105"/>
      <c r="L47" s="105"/>
      <c r="M47" s="102"/>
      <c r="N47" s="110"/>
      <c r="O47" s="102"/>
      <c r="P47" s="105">
        <f>INT(VLOOKUP($AJ$4,測定結果!$A$4:$BF$43,45)/100)</f>
        <v>0</v>
      </c>
      <c r="Q47" s="105">
        <f>INT(VLOOKUP($AJ$4,測定結果!$A$4:$BF$43,45)/10)-INT(VLOOKUP($AJ$4,測定結果!$A$4:$BF$43,45)/100)*10</f>
        <v>0</v>
      </c>
      <c r="R47" s="105">
        <f>INT(VLOOKUP($AJ$4,測定結果!$A$4:$BF$43,45)-INT(VLOOKUP($AJ$4,測定結果!$A$4:$BF$43,45)/10)*10)</f>
        <v>0</v>
      </c>
      <c r="S47" s="102" t="s">
        <v>120</v>
      </c>
      <c r="T47" s="110">
        <f>(VLOOKUP($AJ$4,測定結果!$A$4:$BF$43,45)-INT(VLOOKUP($AJ$4,測定結果!$A$4:$BF$43,45)))*10</f>
        <v>0</v>
      </c>
      <c r="U47" s="105"/>
      <c r="V47" s="102"/>
      <c r="W47" s="110"/>
      <c r="X47" s="102"/>
      <c r="Y47" s="102"/>
      <c r="Z47" s="102"/>
      <c r="AA47" s="110">
        <f>INT(VLOOKUP($AJ$4,測定結果!$A$4:$BF$43,47)/100)</f>
        <v>0</v>
      </c>
      <c r="AB47" s="104">
        <f>INT(VLOOKUP($AJ$4,測定結果!$A$4:$BF$43,46)/10)-INT(VLOOKUP($AJ$4,測定結果!$A$4:$BF$43,46)/100)*10</f>
        <v>0</v>
      </c>
      <c r="AC47" s="104">
        <f>INT(VLOOKUP($AJ$4,測定結果!$A$4:$BF$43,46)-INT(VLOOKUP($AJ$4,測定結果!$A$4:$BF$43,46)/10)*10)</f>
        <v>0</v>
      </c>
      <c r="AD47" s="102" t="s">
        <v>121</v>
      </c>
      <c r="AE47" s="110">
        <f>(VLOOKUP($AJ$4,測定結果!$A$4:$BF$43,46)-INT(VLOOKUP($AJ$4,測定結果!$A$4:$BF$43,46)))*10</f>
        <v>0</v>
      </c>
      <c r="AF47" s="102" t="s">
        <v>121</v>
      </c>
      <c r="AG47" s="110"/>
      <c r="AH47" s="102"/>
      <c r="AI47" s="115"/>
      <c r="AJ47" s="115"/>
      <c r="AK47" s="115"/>
      <c r="AL47" s="115"/>
      <c r="AM47" s="115"/>
      <c r="AN47" s="115"/>
    </row>
  </sheetData>
  <sheetProtection formatColumns="0" formatRows="0"/>
  <mergeCells count="6">
    <mergeCell ref="K23:U23"/>
    <mergeCell ref="J24:X24"/>
    <mergeCell ref="J25:X25"/>
    <mergeCell ref="AF23:AG23"/>
    <mergeCell ref="AB25:AC25"/>
    <mergeCell ref="AE25:AG25"/>
  </mergeCells>
  <phoneticPr fontId="12"/>
  <conditionalFormatting sqref="Q5">
    <cfRule type="cellIs" dxfId="47" priority="19" stopIfTrue="1" operator="equal">
      <formula>0</formula>
    </cfRule>
  </conditionalFormatting>
  <conditionalFormatting sqref="AD5">
    <cfRule type="cellIs" dxfId="46" priority="18" stopIfTrue="1" operator="equal">
      <formula>0</formula>
    </cfRule>
  </conditionalFormatting>
  <conditionalFormatting sqref="Q7">
    <cfRule type="cellIs" dxfId="45" priority="17" stopIfTrue="1" operator="equal">
      <formula>0</formula>
    </cfRule>
  </conditionalFormatting>
  <conditionalFormatting sqref="AD7">
    <cfRule type="cellIs" dxfId="44" priority="16" stopIfTrue="1" operator="equal">
      <formula>0</formula>
    </cfRule>
  </conditionalFormatting>
  <conditionalFormatting sqref="AD9">
    <cfRule type="cellIs" dxfId="43" priority="14" stopIfTrue="1" operator="equal">
      <formula>0</formula>
    </cfRule>
  </conditionalFormatting>
  <conditionalFormatting sqref="Q11">
    <cfRule type="cellIs" dxfId="42" priority="13" stopIfTrue="1" operator="equal">
      <formula>0</formula>
    </cfRule>
  </conditionalFormatting>
  <conditionalFormatting sqref="AD11">
    <cfRule type="cellIs" dxfId="41" priority="12" stopIfTrue="1" operator="equal">
      <formula>0</formula>
    </cfRule>
  </conditionalFormatting>
  <conditionalFormatting sqref="Q13">
    <cfRule type="cellIs" dxfId="40" priority="11" stopIfTrue="1" operator="equal">
      <formula>0</formula>
    </cfRule>
  </conditionalFormatting>
  <conditionalFormatting sqref="AD13">
    <cfRule type="cellIs" dxfId="39" priority="10" stopIfTrue="1" operator="equal">
      <formula>0</formula>
    </cfRule>
  </conditionalFormatting>
  <conditionalFormatting sqref="AD15">
    <cfRule type="cellIs" dxfId="38" priority="9" stopIfTrue="1" operator="equal">
      <formula>0</formula>
    </cfRule>
  </conditionalFormatting>
  <conditionalFormatting sqref="AC15">
    <cfRule type="cellIs" dxfId="37" priority="6" stopIfTrue="1" operator="equal">
      <formula>0</formula>
    </cfRule>
  </conditionalFormatting>
  <conditionalFormatting sqref="AC15">
    <cfRule type="cellIs" dxfId="36" priority="5" stopIfTrue="1" operator="equal">
      <formula>0</formula>
    </cfRule>
  </conditionalFormatting>
  <conditionalFormatting sqref="AB17">
    <cfRule type="cellIs" dxfId="35" priority="4" stopIfTrue="1" operator="equal">
      <formula>0</formula>
    </cfRule>
  </conditionalFormatting>
  <conditionalFormatting sqref="P19">
    <cfRule type="cellIs" dxfId="34" priority="3" stopIfTrue="1" operator="equal">
      <formula>0</formula>
    </cfRule>
  </conditionalFormatting>
  <conditionalFormatting sqref="AC19">
    <cfRule type="cellIs" dxfId="33" priority="2" stopIfTrue="1" operator="equal">
      <formula>0</formula>
    </cfRule>
  </conditionalFormatting>
  <conditionalFormatting sqref="AA47">
    <cfRule type="cellIs" dxfId="32" priority="1" stopIfTrue="1" operator="equal">
      <formula>0</formula>
    </cfRule>
  </conditionalFormatting>
  <dataValidations count="1">
    <dataValidation imeMode="hiragana" allowBlank="1" showInputMessage="1" showErrorMessage="1" sqref="J24:X24" xr:uid="{00000000-0002-0000-0300-000000000000}"/>
  </dataValidations>
  <pageMargins left="0.74803149606299213" right="0.27559055118110237" top="0.82677165354330717" bottom="0.27559055118110237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7938" r:id="rId4" name="Spinner 2">
              <controlPr locked="0" defaultSize="0" autoPict="0">
                <anchor moveWithCells="1" sizeWithCells="1">
                  <from>
                    <xdr:col>35</xdr:col>
                    <xdr:colOff>47625</xdr:colOff>
                    <xdr:row>5</xdr:row>
                    <xdr:rowOff>28575</xdr:rowOff>
                  </from>
                  <to>
                    <xdr:col>35</xdr:col>
                    <xdr:colOff>533400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2:AN47"/>
  <sheetViews>
    <sheetView workbookViewId="0">
      <selection activeCell="K23" sqref="K23:U23"/>
    </sheetView>
  </sheetViews>
  <sheetFormatPr defaultRowHeight="12"/>
  <cols>
    <col min="1" max="1" width="3" customWidth="1"/>
    <col min="2" max="2" width="3.7109375" customWidth="1"/>
    <col min="3" max="8" width="3" customWidth="1"/>
    <col min="9" max="9" width="3.28515625" customWidth="1"/>
    <col min="10" max="19" width="3" customWidth="1"/>
    <col min="20" max="20" width="2.7109375" customWidth="1"/>
    <col min="21" max="25" width="3" customWidth="1"/>
    <col min="26" max="26" width="2.85546875" customWidth="1"/>
    <col min="27" max="28" width="3" customWidth="1"/>
    <col min="29" max="34" width="2.85546875" customWidth="1"/>
    <col min="35" max="36" width="9.140625" style="111"/>
    <col min="37" max="37" width="1.140625" style="111" customWidth="1"/>
    <col min="38" max="38" width="26.140625" style="111" customWidth="1"/>
    <col min="39" max="40" width="9.140625" style="111"/>
  </cols>
  <sheetData>
    <row r="2" spans="1:38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8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8" ht="24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J4" s="112">
        <v>1</v>
      </c>
      <c r="AK4" s="113"/>
      <c r="AL4" s="114" t="str">
        <f>J25</f>
        <v>A001</v>
      </c>
    </row>
    <row r="5" spans="1:38" ht="21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6" t="str">
        <f>IF(VLOOKUP($AJ$4,測定結果!$A$4:$AQ$43,29)&gt;=VLOOKUP($AJ$4,測定結果!$A$4:$AQ$43,30),"○","")</f>
        <v>○</v>
      </c>
      <c r="P5" s="165"/>
      <c r="Q5" s="167">
        <f>INT(VLOOKUP($AJ$4,測定結果!$A$4:$BF$43,29)/10)</f>
        <v>0</v>
      </c>
      <c r="R5" s="167">
        <f>VLOOKUP($AJ$4,測定結果!$A$4:$BF$43,29)-INT(VLOOKUP($AJ$4,測定結果!$A$4:$BF$43,29)/10)*10</f>
        <v>0</v>
      </c>
      <c r="S5" s="168"/>
      <c r="T5" s="168"/>
      <c r="U5" s="168"/>
      <c r="V5" s="168"/>
      <c r="W5" s="168"/>
      <c r="X5" s="168"/>
      <c r="Y5" s="168"/>
      <c r="Z5" s="168"/>
      <c r="AA5" s="168"/>
      <c r="AB5" s="166" t="str">
        <f>IF(VLOOKUP($AJ$4,測定結果!$A$4:$AQ$43,29)&lt;VLOOKUP($AJ4,測定結果!$A$4:$AQ$43,30),"○","")</f>
        <v/>
      </c>
      <c r="AC5" s="168"/>
      <c r="AD5" s="167">
        <f>INT(VLOOKUP($AJ$4,測定結果!$A$4:$BF$43,30)/10)</f>
        <v>0</v>
      </c>
      <c r="AE5" s="167">
        <f>VLOOKUP($AJ$4,測定結果!$A$4:$BF$43,30)-INT(VLOOKUP($AJ$4,測定結果!$A$4:$BF$43,30)/10)*10</f>
        <v>0</v>
      </c>
      <c r="AF5" s="168"/>
      <c r="AG5" s="165"/>
      <c r="AH5" s="165"/>
    </row>
    <row r="6" spans="1:38" ht="6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5"/>
      <c r="AH6" s="165"/>
    </row>
    <row r="7" spans="1:38" ht="22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 t="str">
        <f>IF(VLOOKUP($AJ$4,測定結果!$A$4:$AQ$43,31)&gt;=VLOOKUP($AJ$4,測定結果!$A$4:$AQ$43,32),"○","")</f>
        <v>○</v>
      </c>
      <c r="P7" s="165"/>
      <c r="Q7" s="167">
        <f>INT(VLOOKUP($AJ$4,測定結果!$A$4:$BF$43,31)/10)</f>
        <v>0</v>
      </c>
      <c r="R7" s="167">
        <f>VLOOKUP($AJ$4,測定結果!$A$4:$BF$43,31)-INT(VLOOKUP($AJ$4,測定結果!$A$4:$BF$43,31)/10)*10</f>
        <v>0</v>
      </c>
      <c r="S7" s="168"/>
      <c r="T7" s="168"/>
      <c r="U7" s="168"/>
      <c r="V7" s="168"/>
      <c r="W7" s="168"/>
      <c r="X7" s="168"/>
      <c r="Y7" s="168"/>
      <c r="Z7" s="168"/>
      <c r="AA7" s="168"/>
      <c r="AB7" s="166" t="str">
        <f>IF(VLOOKUP($AJ$4,測定結果!$A$4:$AQ$43,31)&lt;VLOOKUP($AJ$4,測定結果!$A$4:$AQ$43,32),"○","")</f>
        <v/>
      </c>
      <c r="AC7" s="168"/>
      <c r="AD7" s="167">
        <f>INT(VLOOKUP($AJ$4,測定結果!$A$4:$BF$43,32)/10)</f>
        <v>0</v>
      </c>
      <c r="AE7" s="167">
        <f>VLOOKUP($AJ$4,測定結果!$A$4:$BF$43,32)-INT(VLOOKUP($AJ$4,測定結果!$A$4:$BF$43,32)/10)*10</f>
        <v>0</v>
      </c>
      <c r="AF7" s="168"/>
      <c r="AG7" s="165"/>
      <c r="AH7" s="165"/>
    </row>
    <row r="8" spans="1:38" ht="6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5"/>
      <c r="AH8" s="165"/>
    </row>
    <row r="9" spans="1:38" ht="21.7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7">
        <f>INT(VLOOKUP($AJ$4,測定結果!$A$4:$BF$43,33)/10)</f>
        <v>0</v>
      </c>
      <c r="AE9" s="167">
        <f>VLOOKUP($AJ$4,測定結果!$A$4:$BF$43,33)-INT(VLOOKUP($AJ$4,測定結果!$A$4:$BF$43,33)/10)*10</f>
        <v>0</v>
      </c>
      <c r="AF9" s="168"/>
      <c r="AG9" s="165"/>
      <c r="AH9" s="165"/>
    </row>
    <row r="10" spans="1:38" ht="6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5"/>
      <c r="AH10" s="165"/>
    </row>
    <row r="11" spans="1:38" ht="22.5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 t="str">
        <f>IF(VLOOKUP($AJ$4,測定結果!$A$4:$AQ$43,34)&gt;=VLOOKUP($AJ$4,測定結果!$A$4:$AQ$43,35),"○","")</f>
        <v>○</v>
      </c>
      <c r="P11" s="165"/>
      <c r="Q11" s="167">
        <f>INT(VLOOKUP($AJ$4,測定結果!$A$4:$BF$43,34)/10)</f>
        <v>0</v>
      </c>
      <c r="R11" s="167">
        <f>VLOOKUP($AJ$4,測定結果!$A$4:$BF$43,34)-INT(VLOOKUP($AJ$4,測定結果!$A$4:$BF$43,34)/10)*10</f>
        <v>0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6" t="str">
        <f>IF(VLOOKUP($AJ$4,測定結果!$A$4:$AQ$43,34)&lt;VLOOKUP($AJ$4,測定結果!$A$4:$AQ$43,35),"○","")</f>
        <v/>
      </c>
      <c r="AC11" s="168"/>
      <c r="AD11" s="167">
        <f>INT(VLOOKUP($AJ$4,測定結果!$A$4:$BF$43,35)/10)</f>
        <v>0</v>
      </c>
      <c r="AE11" s="167">
        <f>VLOOKUP($AJ$4,測定結果!$A$4:$BF$43,35)-INT(VLOOKUP($AJ$4,測定結果!$A$4:$BF$43,35)/10)*10</f>
        <v>0</v>
      </c>
      <c r="AF11" s="168"/>
      <c r="AG11" s="165"/>
      <c r="AH11" s="165"/>
    </row>
    <row r="12" spans="1:38" ht="4.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5"/>
      <c r="AH12" s="165"/>
    </row>
    <row r="13" spans="1:38" ht="23.2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6" t="str">
        <f>IF(VLOOKUP($AJ$4,測定結果!$A$4:$AQ$43,36)&gt;=VLOOKUP($AJ$4,測定結果!$A$4:$AQ$43,37),"○","")</f>
        <v>○</v>
      </c>
      <c r="P13" s="165"/>
      <c r="Q13" s="167">
        <f>INT(VLOOKUP($AJ$4,測定結果!$A$4:$BF$43,36)/10)</f>
        <v>0</v>
      </c>
      <c r="R13" s="167">
        <f>VLOOKUP($AJ$4,測定結果!$A$4:$BF$43,36)-INT(VLOOKUP($AJ$4,測定結果!$A$4:$BF$43,36)/10)*10</f>
        <v>0</v>
      </c>
      <c r="S13" s="168"/>
      <c r="T13" s="168"/>
      <c r="U13" s="168"/>
      <c r="V13" s="168"/>
      <c r="W13" s="168"/>
      <c r="X13" s="168"/>
      <c r="Y13" s="168"/>
      <c r="Z13" s="168"/>
      <c r="AA13" s="168"/>
      <c r="AB13" s="166" t="str">
        <f>IF(VLOOKUP($AJ$4,測定結果!$A$4:$AQ$43,36)&lt;VLOOKUP($AJ$4,測定結果!$A$4:$AQ$43,37),"○","")</f>
        <v/>
      </c>
      <c r="AC13" s="168"/>
      <c r="AD13" s="167">
        <f>INT(VLOOKUP($AJ$4,測定結果!$A$4:$BF$43,37)/10)</f>
        <v>0</v>
      </c>
      <c r="AE13" s="167">
        <f>VLOOKUP($AJ$4,測定結果!$A$4:$BF$43,37)-INT(VLOOKUP($AJ$4,測定結果!$A$4:$BF$43,37)/10)*10</f>
        <v>0</v>
      </c>
      <c r="AF13" s="168"/>
      <c r="AG13" s="165"/>
      <c r="AH13" s="165"/>
    </row>
    <row r="14" spans="1:38" ht="4.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8" ht="21.7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8" t="s">
        <v>120</v>
      </c>
      <c r="R15" s="168" t="s">
        <v>120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9">
        <f>INT(VLOOKUP($AJ$4,測定結果!$A$4:$BF$43,38)/100)</f>
        <v>0</v>
      </c>
      <c r="AD15" s="169">
        <f>INT(VLOOKUP($AJ$4,測定結果!$A$4:$BF$43,38)/10)-INT(VLOOKUP($AJ$4,測定結果!$A$4:$BF$43,38)/100)*10</f>
        <v>0</v>
      </c>
      <c r="AE15" s="169">
        <f>INT(VLOOKUP($AJ$4,測定結果!$A$4:$BF$43,38)-INT(VLOOKUP($AJ$4,測定結果!$A$4:$BF$43,38)/10)*10)</f>
        <v>0</v>
      </c>
      <c r="AF15" s="168"/>
      <c r="AG15" s="165"/>
      <c r="AH15" s="165"/>
    </row>
    <row r="16" spans="1:38" ht="6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5"/>
      <c r="AH16" s="165"/>
    </row>
    <row r="17" spans="1:34" ht="22.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9">
        <f>INT(VLOOKUP($AJ$4,測定結果!$A$4:$BF$43,39)/10)</f>
        <v>0</v>
      </c>
      <c r="AC17" s="169">
        <f>INT(VLOOKUP($AJ$4,測定結果!$A$4:$BF$43,39)-INT(VLOOKUP($AJ$4,測定結果!$A$4:$BF$43,39)/10)*10)</f>
        <v>0</v>
      </c>
      <c r="AD17" s="169" t="s">
        <v>121</v>
      </c>
      <c r="AE17" s="169">
        <f>(VLOOKUP($AJ$4,測定結果!$A$4:$BF$43,39)-INT(VLOOKUP($AJ$4,測定結果!$A$4:$BF$43,39)))*10</f>
        <v>0</v>
      </c>
      <c r="AF17" s="168"/>
      <c r="AG17" s="165"/>
      <c r="AH17" s="165"/>
    </row>
    <row r="18" spans="1:34" ht="6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5"/>
      <c r="AH18" s="165"/>
    </row>
    <row r="19" spans="1:34" ht="23.2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6" t="str">
        <f>IF(VLOOKUP($AJ$4,測定結果!$A$4:$AQ$43,40)&gt;=VLOOKUP($AJ$4,測定結果!$A$4:$AQ$43,41),"○","")</f>
        <v>○</v>
      </c>
      <c r="P19" s="170">
        <f>INT(VLOOKUP($AJ$4,測定結果!$A$4:$BF$43,40)/100)</f>
        <v>0</v>
      </c>
      <c r="Q19" s="170">
        <f>INT(VLOOKUP($AJ$4,測定結果!$A$4:$BF$43,40)/10)-INT(VLOOKUP($AJ$4,測定結果!$A$4:$BF$43,40)/100)*10</f>
        <v>0</v>
      </c>
      <c r="R19" s="170">
        <f>INT(VLOOKUP($AJ$4,測定結果!$A$4:$BF$43,40)-INT(VLOOKUP($AJ$4,測定結果!$A$4:$BF$43,40)/10)*10)</f>
        <v>0</v>
      </c>
      <c r="S19" s="168"/>
      <c r="T19" s="168"/>
      <c r="U19" s="168"/>
      <c r="V19" s="168"/>
      <c r="W19" s="168"/>
      <c r="X19" s="168"/>
      <c r="Y19" s="168"/>
      <c r="Z19" s="168"/>
      <c r="AA19" s="168"/>
      <c r="AB19" s="166" t="str">
        <f>IF(VLOOKUP($AJ$4,測定結果!$A$4:$AQ$43,40)&lt;VLOOKUP($AJ$4,測定結果!$A$4:$AQ$43,41),"○","")</f>
        <v/>
      </c>
      <c r="AC19" s="170">
        <f>INT(VLOOKUP($AJ$4,測定結果!$A$4:$BF$43,41)/100)</f>
        <v>0</v>
      </c>
      <c r="AD19" s="170">
        <f>INT(VLOOKUP($AJ$4,測定結果!$A$4:$BF$43,41)/10)-INT(VLOOKUP($AJ$4,測定結果!$A$4:$BF$43,41)/100)*10</f>
        <v>0</v>
      </c>
      <c r="AE19" s="170">
        <f>INT(VLOOKUP($AJ$4,測定結果!$A$4:$BF$43,41)-INT(VLOOKUP($AJ$4,測定結果!$A$4:$BF$43,41)/10)*10)</f>
        <v>0</v>
      </c>
      <c r="AF19" s="168"/>
      <c r="AG19" s="165"/>
      <c r="AH19" s="165"/>
    </row>
    <row r="20" spans="1:34" ht="6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</row>
    <row r="21" spans="1:34" ht="23.2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 t="str">
        <f>IF(VLOOKUP($AJ$4,測定結果!$A$4:$AQ$43,42)&gt;=VLOOKUP($AJ$4,測定結果!$A$4:$AQ$43,43),"○","")</f>
        <v>○</v>
      </c>
      <c r="P21" s="165"/>
      <c r="Q21" s="170">
        <f>INT(VLOOKUP($AJ$4,測定結果!$A$4:$BF$43,42)/10)-INT(VLOOKUP($AJ$4,測定結果!$A$4:$BF$43,42)/100)*10</f>
        <v>0</v>
      </c>
      <c r="R21" s="170">
        <f>INT(VLOOKUP($AJ$4,測定結果!$A$4:$BF$43,42)-INT(VLOOKUP($AJ$4,測定結果!$A$4:$BF$43,42)/10)*10)</f>
        <v>0</v>
      </c>
      <c r="S21" s="168"/>
      <c r="T21" s="168"/>
      <c r="U21" s="168"/>
      <c r="V21" s="168"/>
      <c r="W21" s="168"/>
      <c r="X21" s="168"/>
      <c r="Y21" s="168"/>
      <c r="Z21" s="168"/>
      <c r="AA21" s="168"/>
      <c r="AB21" s="166" t="str">
        <f>IF(VLOOKUP($AJ$4,測定結果!$A$4:$AQ$43,42)&lt;VLOOKUP($AJ$4,測定結果!$A$4:$AQ$43,43),"○","")</f>
        <v/>
      </c>
      <c r="AC21" s="168"/>
      <c r="AD21" s="170">
        <f>INT(VLOOKUP($AJ$4,測定結果!$A$4:$BF$43,43)/10)-INT(VLOOKUP($AJ$4,測定結果!$A$4:$BF$43,43)/100)*10</f>
        <v>0</v>
      </c>
      <c r="AE21" s="170">
        <f>INT(VLOOKUP($AJ$4,測定結果!$A$4:$BF$43,43)-INT(VLOOKUP($AJ$4,測定結果!$A$4:$BF$43,43)/10)*10)</f>
        <v>0</v>
      </c>
      <c r="AF21" s="168"/>
      <c r="AG21" s="165"/>
      <c r="AH21" s="165"/>
    </row>
    <row r="22" spans="1:34" ht="30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ht="30" customHeight="1">
      <c r="A23" s="101"/>
      <c r="B23" s="155">
        <f>測定結果!E1</f>
        <v>6</v>
      </c>
      <c r="C23" s="155">
        <f>測定結果!G1</f>
        <v>2</v>
      </c>
      <c r="D23" s="104">
        <f>INT(VLOOKUP($AJ$4,測定結果!$A$4:$BF$43,1)/10)</f>
        <v>0</v>
      </c>
      <c r="E23" s="104">
        <f>VLOOKUP($AJ$4,測定結果!$A$4:$BF$43,1)-INT(VLOOKUP($AJ$4,測定結果!$A$4:$BF$43,1)/10)*10</f>
        <v>1</v>
      </c>
      <c r="F23" s="102" t="s">
        <v>121</v>
      </c>
      <c r="G23" s="106"/>
      <c r="H23" s="106"/>
      <c r="I23" s="106"/>
      <c r="J23" s="106"/>
      <c r="K23" s="251" t="s">
        <v>166</v>
      </c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106"/>
      <c r="W23" s="106"/>
      <c r="X23" s="106"/>
      <c r="Y23" s="106"/>
      <c r="Z23" s="106"/>
      <c r="AA23" s="102">
        <f>測定結果!E1</f>
        <v>6</v>
      </c>
      <c r="AB23" s="102"/>
      <c r="AC23" s="102"/>
      <c r="AD23" s="102">
        <f>測定結果!G1</f>
        <v>2</v>
      </c>
      <c r="AE23" s="102"/>
      <c r="AF23" s="216">
        <f>VLOOKUP($AJ$4,測定結果!A4:BF43,1)</f>
        <v>1</v>
      </c>
      <c r="AG23" s="216"/>
      <c r="AH23" s="101"/>
    </row>
    <row r="24" spans="1:34" ht="13.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254" t="str">
        <f>VLOOKUP($AJ$4,測定結果!A4:BF43,56)</f>
        <v/>
      </c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ht="36.7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214" t="str">
        <f>VLOOKUP($AJ$4,測定結果!A4:BF43,2)</f>
        <v>A001</v>
      </c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101"/>
      <c r="Z25" s="101"/>
      <c r="AA25" s="101"/>
      <c r="AB25" s="252" t="str">
        <f>IF(VLOOKUP($AJ$4,測定結果!A4:BF43,4)="男","○","")</f>
        <v/>
      </c>
      <c r="AC25" s="252"/>
      <c r="AD25" s="108"/>
      <c r="AE25" s="253" t="str">
        <f>IF(VLOOKUP($AJ$4,測定結果!A4:BF43,4)="女","○","")</f>
        <v/>
      </c>
      <c r="AF25" s="253"/>
      <c r="AG25" s="253"/>
      <c r="AH25" s="101"/>
    </row>
    <row r="26" spans="1:34" ht="15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4" ht="15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</row>
    <row r="28" spans="1:34" ht="15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</row>
    <row r="29" spans="1:34" ht="15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</row>
    <row r="30" spans="1:34" ht="15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</row>
    <row r="31" spans="1:34" ht="15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</row>
    <row r="32" spans="1:34" ht="15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</row>
    <row r="33" spans="1:40" ht="15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</row>
    <row r="34" spans="1:40" ht="15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</row>
    <row r="35" spans="1:40" ht="15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</row>
    <row r="36" spans="1:40" ht="15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</row>
    <row r="37" spans="1:40" ht="15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40" ht="15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</row>
    <row r="39" spans="1:40" ht="15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40" ht="15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</row>
    <row r="41" spans="1:40" ht="15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</row>
    <row r="42" spans="1:40" ht="15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40" ht="15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40" ht="15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</row>
    <row r="45" spans="1:40" ht="15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</row>
    <row r="46" spans="1:40" ht="15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</row>
    <row r="47" spans="1:40" s="7" customFormat="1" ht="30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5"/>
      <c r="K47" s="105"/>
      <c r="L47" s="105"/>
      <c r="M47" s="102"/>
      <c r="N47" s="110"/>
      <c r="O47" s="102"/>
      <c r="P47" s="171">
        <f>INT(VLOOKUP($AJ$4,測定結果!$A$4:$BF$43,45)/100)</f>
        <v>0</v>
      </c>
      <c r="Q47" s="171">
        <f>INT(VLOOKUP($AJ$4,測定結果!$A$4:$BF$43,45)/10)-INT(VLOOKUP($AJ$4,測定結果!$A$4:$BF$43,45)/100)*10</f>
        <v>0</v>
      </c>
      <c r="R47" s="171">
        <f>INT(VLOOKUP($AJ$4,測定結果!$A$4:$BF$43,45)-INT(VLOOKUP($AJ$4,測定結果!$A$4:$BF$43,45)/10)*10)</f>
        <v>0</v>
      </c>
      <c r="S47" s="172" t="s">
        <v>120</v>
      </c>
      <c r="T47" s="162">
        <f>(VLOOKUP($AJ$4,測定結果!$A$4:$BF$43,45)-INT(VLOOKUP($AJ$4,測定結果!$A$4:$BF$43,45)))*10</f>
        <v>0</v>
      </c>
      <c r="U47" s="171"/>
      <c r="V47" s="172"/>
      <c r="W47" s="162"/>
      <c r="X47" s="172"/>
      <c r="Y47" s="172"/>
      <c r="Z47" s="172"/>
      <c r="AA47" s="162">
        <f>INT(VLOOKUP($AJ$4,測定結果!$A$4:$BF$43,47)/100)</f>
        <v>0</v>
      </c>
      <c r="AB47" s="173">
        <f>INT(VLOOKUP($AJ$4,測定結果!$A$4:$BF$43,46)/10)-INT(VLOOKUP($AJ$4,測定結果!$A$4:$BF$43,46)/100)*10</f>
        <v>0</v>
      </c>
      <c r="AC47" s="173">
        <f>INT(VLOOKUP($AJ$4,測定結果!$A$4:$BF$43,46)-INT(VLOOKUP($AJ$4,測定結果!$A$4:$BF$43,46)/10)*10)</f>
        <v>0</v>
      </c>
      <c r="AD47" s="172" t="s">
        <v>121</v>
      </c>
      <c r="AE47" s="162">
        <f>(VLOOKUP($AJ$4,測定結果!$A$4:$BF$43,46)-INT(VLOOKUP($AJ$4,測定結果!$A$4:$BF$43,46)))*10</f>
        <v>0</v>
      </c>
      <c r="AF47" s="102" t="s">
        <v>121</v>
      </c>
      <c r="AG47" s="110"/>
      <c r="AH47" s="102"/>
      <c r="AI47" s="115"/>
      <c r="AJ47" s="115"/>
      <c r="AK47" s="115"/>
      <c r="AL47" s="115"/>
      <c r="AM47" s="115"/>
      <c r="AN47" s="115"/>
    </row>
  </sheetData>
  <sheetProtection formatColumns="0" formatRows="0"/>
  <mergeCells count="6">
    <mergeCell ref="K23:U23"/>
    <mergeCell ref="AF23:AG23"/>
    <mergeCell ref="J24:X24"/>
    <mergeCell ref="J25:X25"/>
    <mergeCell ref="AB25:AC25"/>
    <mergeCell ref="AE25:AG25"/>
  </mergeCells>
  <phoneticPr fontId="12"/>
  <conditionalFormatting sqref="Q5">
    <cfRule type="cellIs" dxfId="31" priority="16" stopIfTrue="1" operator="equal">
      <formula>0</formula>
    </cfRule>
  </conditionalFormatting>
  <conditionalFormatting sqref="AD5">
    <cfRule type="cellIs" dxfId="30" priority="15" stopIfTrue="1" operator="equal">
      <formula>0</formula>
    </cfRule>
  </conditionalFormatting>
  <conditionalFormatting sqref="Q7">
    <cfRule type="cellIs" dxfId="29" priority="14" stopIfTrue="1" operator="equal">
      <formula>0</formula>
    </cfRule>
  </conditionalFormatting>
  <conditionalFormatting sqref="AD7">
    <cfRule type="cellIs" dxfId="28" priority="13" stopIfTrue="1" operator="equal">
      <formula>0</formula>
    </cfRule>
  </conditionalFormatting>
  <conditionalFormatting sqref="AD9">
    <cfRule type="cellIs" dxfId="27" priority="12" stopIfTrue="1" operator="equal">
      <formula>0</formula>
    </cfRule>
  </conditionalFormatting>
  <conditionalFormatting sqref="Q11">
    <cfRule type="cellIs" dxfId="26" priority="11" stopIfTrue="1" operator="equal">
      <formula>0</formula>
    </cfRule>
  </conditionalFormatting>
  <conditionalFormatting sqref="AD11">
    <cfRule type="cellIs" dxfId="25" priority="10" stopIfTrue="1" operator="equal">
      <formula>0</formula>
    </cfRule>
  </conditionalFormatting>
  <conditionalFormatting sqref="Q13">
    <cfRule type="cellIs" dxfId="24" priority="9" stopIfTrue="1" operator="equal">
      <formula>0</formula>
    </cfRule>
  </conditionalFormatting>
  <conditionalFormatting sqref="AD13">
    <cfRule type="cellIs" dxfId="23" priority="8" stopIfTrue="1" operator="equal">
      <formula>0</formula>
    </cfRule>
  </conditionalFormatting>
  <conditionalFormatting sqref="AD15">
    <cfRule type="cellIs" dxfId="22" priority="7" stopIfTrue="1" operator="equal">
      <formula>0</formula>
    </cfRule>
  </conditionalFormatting>
  <conditionalFormatting sqref="AC15">
    <cfRule type="cellIs" dxfId="21" priority="6" stopIfTrue="1" operator="equal">
      <formula>0</formula>
    </cfRule>
  </conditionalFormatting>
  <conditionalFormatting sqref="AC15">
    <cfRule type="cellIs" dxfId="20" priority="5" stopIfTrue="1" operator="equal">
      <formula>0</formula>
    </cfRule>
  </conditionalFormatting>
  <conditionalFormatting sqref="AB17">
    <cfRule type="cellIs" dxfId="19" priority="4" stopIfTrue="1" operator="equal">
      <formula>0</formula>
    </cfRule>
  </conditionalFormatting>
  <conditionalFormatting sqref="P19">
    <cfRule type="cellIs" dxfId="18" priority="3" stopIfTrue="1" operator="equal">
      <formula>0</formula>
    </cfRule>
  </conditionalFormatting>
  <conditionalFormatting sqref="AC19">
    <cfRule type="cellIs" dxfId="17" priority="2" stopIfTrue="1" operator="equal">
      <formula>0</formula>
    </cfRule>
  </conditionalFormatting>
  <conditionalFormatting sqref="AA47">
    <cfRule type="cellIs" dxfId="16" priority="1" stopIfTrue="1" operator="equal">
      <formula>0</formula>
    </cfRule>
  </conditionalFormatting>
  <dataValidations count="1">
    <dataValidation imeMode="hiragana" allowBlank="1" showInputMessage="1" showErrorMessage="1" sqref="J24:X24" xr:uid="{00000000-0002-0000-0400-000000000000}"/>
  </dataValidations>
  <pageMargins left="0.74803149606299213" right="0.27559055118110237" top="0.82677165354330717" bottom="0.27559055118110237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1457" r:id="rId4" name="Spinner 1">
              <controlPr locked="0" defaultSize="0" autoPict="0">
                <anchor moveWithCells="1" sizeWithCells="1">
                  <from>
                    <xdr:col>35</xdr:col>
                    <xdr:colOff>47625</xdr:colOff>
                    <xdr:row>5</xdr:row>
                    <xdr:rowOff>28575</xdr:rowOff>
                  </from>
                  <to>
                    <xdr:col>35</xdr:col>
                    <xdr:colOff>533400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2:AN47"/>
  <sheetViews>
    <sheetView workbookViewId="0">
      <selection activeCell="AL48" sqref="AL48"/>
    </sheetView>
  </sheetViews>
  <sheetFormatPr defaultRowHeight="12"/>
  <cols>
    <col min="1" max="1" width="3" customWidth="1"/>
    <col min="2" max="2" width="3.7109375" customWidth="1"/>
    <col min="3" max="8" width="3" customWidth="1"/>
    <col min="9" max="9" width="3.28515625" customWidth="1"/>
    <col min="10" max="19" width="3" customWidth="1"/>
    <col min="20" max="20" width="2.7109375" customWidth="1"/>
    <col min="21" max="25" width="3" customWidth="1"/>
    <col min="26" max="26" width="2.85546875" customWidth="1"/>
    <col min="27" max="28" width="3" customWidth="1"/>
    <col min="29" max="34" width="2.85546875" customWidth="1"/>
    <col min="35" max="36" width="9.140625" style="111"/>
    <col min="37" max="37" width="1.140625" style="111" customWidth="1"/>
    <col min="38" max="38" width="26.140625" style="111" customWidth="1"/>
    <col min="39" max="40" width="9.140625" style="111"/>
  </cols>
  <sheetData>
    <row r="2" spans="1:38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8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1:38" ht="24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J4" s="112">
        <v>1</v>
      </c>
      <c r="AK4" s="113"/>
      <c r="AL4" s="114" t="str">
        <f>J25</f>
        <v>A001</v>
      </c>
    </row>
    <row r="5" spans="1:38" ht="21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6" t="str">
        <f>IF(VLOOKUP($AJ$4,測定結果!$A$4:$AQ$43,29)&gt;=VLOOKUP($AJ$4,測定結果!$A$4:$AQ$43,30),"○","")</f>
        <v>○</v>
      </c>
      <c r="P5" s="101"/>
      <c r="Q5" s="102">
        <f>INT(VLOOKUP($AJ$4,測定結果!$A$4:$BF$43,29)/10)</f>
        <v>0</v>
      </c>
      <c r="R5" s="102">
        <f>VLOOKUP($AJ$4,測定結果!$A$4:$BF$43,29)-INT(VLOOKUP($AJ$4,測定結果!$A$4:$BF$43,29)/10)*10</f>
        <v>0</v>
      </c>
      <c r="S5" s="103"/>
      <c r="T5" s="103"/>
      <c r="U5" s="103"/>
      <c r="V5" s="103"/>
      <c r="W5" s="103"/>
      <c r="X5" s="103"/>
      <c r="Y5" s="103"/>
      <c r="Z5" s="103"/>
      <c r="AA5" s="103"/>
      <c r="AB5" s="106" t="str">
        <f>IF(VLOOKUP($AJ$4,測定結果!$A$4:$AQ$43,29)&lt;VLOOKUP($AJ4,測定結果!$A$4:$AQ$43,30),"○","")</f>
        <v/>
      </c>
      <c r="AC5" s="103"/>
      <c r="AD5" s="102">
        <f>INT(VLOOKUP($AJ$4,測定結果!$A$4:$BF$43,30)/10)</f>
        <v>0</v>
      </c>
      <c r="AE5" s="102">
        <f>VLOOKUP($AJ$4,測定結果!$A$4:$BF$43,30)-INT(VLOOKUP($AJ$4,測定結果!$A$4:$BF$43,30)/10)*10</f>
        <v>0</v>
      </c>
      <c r="AF5" s="103"/>
      <c r="AG5" s="101"/>
      <c r="AH5" s="101"/>
    </row>
    <row r="6" spans="1:38" ht="6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1"/>
      <c r="AH6" s="101"/>
    </row>
    <row r="7" spans="1:38" ht="22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6" t="str">
        <f>IF(VLOOKUP($AJ$4,測定結果!$A$4:$AQ$43,31)&gt;=VLOOKUP($AJ$4,測定結果!$A$4:$AQ$43,32),"○","")</f>
        <v>○</v>
      </c>
      <c r="P7" s="101"/>
      <c r="Q7" s="102">
        <f>INT(VLOOKUP($AJ$4,測定結果!$A$4:$BF$43,31)/10)</f>
        <v>0</v>
      </c>
      <c r="R7" s="102">
        <f>VLOOKUP($AJ$4,測定結果!$A$4:$BF$43,31)-INT(VLOOKUP($AJ$4,測定結果!$A$4:$BF$43,31)/10)*10</f>
        <v>0</v>
      </c>
      <c r="S7" s="103"/>
      <c r="T7" s="103"/>
      <c r="U7" s="103"/>
      <c r="V7" s="103"/>
      <c r="W7" s="103"/>
      <c r="X7" s="103"/>
      <c r="Y7" s="103"/>
      <c r="Z7" s="103"/>
      <c r="AA7" s="103"/>
      <c r="AB7" s="106" t="str">
        <f>IF(VLOOKUP($AJ$4,測定結果!$A$4:$AQ$43,31)&lt;VLOOKUP($AJ$4,測定結果!$A$4:$AQ$43,32),"○","")</f>
        <v/>
      </c>
      <c r="AC7" s="103"/>
      <c r="AD7" s="102">
        <f>INT(VLOOKUP($AJ$4,測定結果!$A$4:$BF$43,32)/10)</f>
        <v>0</v>
      </c>
      <c r="AE7" s="102">
        <f>VLOOKUP($AJ$4,測定結果!$A$4:$BF$43,32)-INT(VLOOKUP($AJ$4,測定結果!$A$4:$BF$43,32)/10)*10</f>
        <v>0</v>
      </c>
      <c r="AF7" s="103"/>
      <c r="AG7" s="101"/>
      <c r="AH7" s="101"/>
    </row>
    <row r="8" spans="1:38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1"/>
      <c r="AH8" s="101"/>
    </row>
    <row r="9" spans="1:38" ht="21.7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2">
        <f>INT(VLOOKUP($AJ$4,測定結果!$A$4:$BF$43,33)/10)</f>
        <v>0</v>
      </c>
      <c r="AE9" s="102">
        <f>VLOOKUP($AJ$4,測定結果!$A$4:$BF$43,33)-INT(VLOOKUP($AJ$4,測定結果!$A$4:$BF$43,33)/10)*10</f>
        <v>0</v>
      </c>
      <c r="AF9" s="103"/>
      <c r="AG9" s="101"/>
      <c r="AH9" s="101"/>
    </row>
    <row r="10" spans="1:38" ht="6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1"/>
      <c r="AH10" s="101"/>
    </row>
    <row r="11" spans="1:38" ht="22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6" t="str">
        <f>IF(VLOOKUP($AJ$4,測定結果!$A$4:$AQ$43,34)&gt;=VLOOKUP($AJ$4,測定結果!$A$4:$AQ$43,35),"○","")</f>
        <v>○</v>
      </c>
      <c r="P11" s="101"/>
      <c r="Q11" s="102">
        <f>INT(VLOOKUP($AJ$4,測定結果!$A$4:$BF$43,34)/10)</f>
        <v>0</v>
      </c>
      <c r="R11" s="102">
        <f>VLOOKUP($AJ$4,測定結果!$A$4:$BF$43,34)-INT(VLOOKUP($AJ$4,測定結果!$A$4:$BF$43,34)/10)*10</f>
        <v>0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6" t="str">
        <f>IF(VLOOKUP($AJ$4,測定結果!$A$4:$AQ$43,34)&lt;VLOOKUP($AJ$4,測定結果!$A$4:$AQ$43,35),"○","")</f>
        <v/>
      </c>
      <c r="AC11" s="103"/>
      <c r="AD11" s="102">
        <f>INT(VLOOKUP($AJ$4,測定結果!$A$4:$BF$43,35)/10)</f>
        <v>0</v>
      </c>
      <c r="AE11" s="102">
        <f>VLOOKUP($AJ$4,測定結果!$A$4:$BF$43,35)-INT(VLOOKUP($AJ$4,測定結果!$A$4:$BF$43,35)/10)*10</f>
        <v>0</v>
      </c>
      <c r="AF11" s="103"/>
      <c r="AG11" s="101"/>
      <c r="AH11" s="101"/>
    </row>
    <row r="12" spans="1:38" ht="4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1"/>
      <c r="AH12" s="101"/>
    </row>
    <row r="13" spans="1:38" ht="23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6" t="str">
        <f>IF(VLOOKUP($AJ$4,測定結果!$A$4:$AQ$43,36)&gt;=VLOOKUP($AJ$4,測定結果!$A$4:$AQ$43,37),"○","")</f>
        <v>○</v>
      </c>
      <c r="P13" s="101"/>
      <c r="Q13" s="102">
        <f>INT(VLOOKUP($AJ$4,測定結果!$A$4:$BF$43,36)/10)</f>
        <v>0</v>
      </c>
      <c r="R13" s="102">
        <f>VLOOKUP($AJ$4,測定結果!$A$4:$BF$43,36)-INT(VLOOKUP($AJ$4,測定結果!$A$4:$BF$43,36)/10)*10</f>
        <v>0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6" t="str">
        <f>IF(VLOOKUP($AJ$4,測定結果!$A$4:$AQ$43,36)&lt;VLOOKUP($AJ$4,測定結果!$A$4:$AQ$43,37),"○","")</f>
        <v/>
      </c>
      <c r="AC13" s="103"/>
      <c r="AD13" s="102">
        <f>INT(VLOOKUP($AJ$4,測定結果!$A$4:$BF$43,37)/10)</f>
        <v>0</v>
      </c>
      <c r="AE13" s="102">
        <f>VLOOKUP($AJ$4,測定結果!$A$4:$BF$43,37)-INT(VLOOKUP($AJ$4,測定結果!$A$4:$BF$43,37)/10)*10</f>
        <v>0</v>
      </c>
      <c r="AF13" s="103"/>
      <c r="AG13" s="101"/>
      <c r="AH13" s="101"/>
    </row>
    <row r="14" spans="1:38" ht="4.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8" ht="21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3" t="s">
        <v>120</v>
      </c>
      <c r="R15" s="103" t="s">
        <v>120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>
        <f>INT(VLOOKUP($AJ$4,測定結果!$A$4:$BF$43,38)/100)</f>
        <v>0</v>
      </c>
      <c r="AD15" s="104">
        <f>INT(VLOOKUP($AJ$4,測定結果!$A$4:$BF$43,38)/10)-INT(VLOOKUP($AJ$4,測定結果!$A$4:$BF$43,38)/100)*10</f>
        <v>0</v>
      </c>
      <c r="AE15" s="104">
        <f>INT(VLOOKUP($AJ$4,測定結果!$A$4:$BF$43,38)-INT(VLOOKUP($AJ$4,測定結果!$A$4:$BF$43,38)/10)*10)</f>
        <v>0</v>
      </c>
      <c r="AF15" s="103"/>
      <c r="AG15" s="101"/>
      <c r="AH15" s="101"/>
    </row>
    <row r="16" spans="1:38" ht="6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1"/>
      <c r="AH16" s="101"/>
    </row>
    <row r="17" spans="1:35" ht="22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>
        <f>INT(VLOOKUP($AJ$4,測定結果!$A$4:$BF$43,39)/10)</f>
        <v>0</v>
      </c>
      <c r="AC17" s="104">
        <f>INT(VLOOKUP($AJ$4,測定結果!$A$4:$BF$43,39)-INT(VLOOKUP($AJ$4,測定結果!$A$4:$BF$43,39)/10)*10)</f>
        <v>0</v>
      </c>
      <c r="AD17" s="104" t="s">
        <v>121</v>
      </c>
      <c r="AE17" s="104">
        <f>(VLOOKUP($AJ$4,測定結果!$A$4:$BF$43,39)-INT(VLOOKUP($AJ$4,測定結果!$A$4:$BF$43,39)))*10</f>
        <v>0</v>
      </c>
      <c r="AF17" s="103"/>
      <c r="AG17" s="101"/>
      <c r="AH17" s="101"/>
    </row>
    <row r="18" spans="1:35" ht="6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1"/>
      <c r="AH18" s="101"/>
    </row>
    <row r="19" spans="1:35" ht="23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6" t="str">
        <f>IF(VLOOKUP($AJ$4,測定結果!$A$4:$AQ$43,40)&gt;=VLOOKUP($AJ$4,測定結果!$A$4:$AQ$43,41),"○","")</f>
        <v>○</v>
      </c>
      <c r="P19" s="105">
        <f>INT(VLOOKUP($AJ$4,測定結果!$A$4:$BF$43,40)/100)</f>
        <v>0</v>
      </c>
      <c r="Q19" s="105">
        <f>INT(VLOOKUP($AJ$4,測定結果!$A$4:$BF$43,40)/10)-INT(VLOOKUP($AJ$4,測定結果!$A$4:$BF$43,40)/100)*10</f>
        <v>0</v>
      </c>
      <c r="R19" s="105">
        <f>INT(VLOOKUP($AJ$4,測定結果!$A$4:$BF$43,40)-INT(VLOOKUP($AJ$4,測定結果!$A$4:$BF$43,40)/10)*10)</f>
        <v>0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6" t="str">
        <f>IF(VLOOKUP($AJ$4,測定結果!$A$4:$AQ$43,40)&lt;VLOOKUP($AJ$4,測定結果!$A$4:$AQ$43,41),"○","")</f>
        <v/>
      </c>
      <c r="AC19" s="105">
        <f>INT(VLOOKUP($AJ$4,測定結果!$A$4:$BF$43,41)/100)</f>
        <v>0</v>
      </c>
      <c r="AD19" s="105">
        <f>INT(VLOOKUP($AJ$4,測定結果!$A$4:$BF$43,41)/10)-INT(VLOOKUP($AJ$4,測定結果!$A$4:$BF$43,41)/100)*10</f>
        <v>0</v>
      </c>
      <c r="AE19" s="105">
        <f>INT(VLOOKUP($AJ$4,測定結果!$A$4:$BF$43,41)-INT(VLOOKUP($AJ$4,測定結果!$A$4:$BF$43,41)/10)*10)</f>
        <v>0</v>
      </c>
      <c r="AF19" s="103"/>
      <c r="AG19" s="101"/>
      <c r="AH19" s="101"/>
    </row>
    <row r="20" spans="1:35" ht="6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5" ht="23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6" t="str">
        <f>IF(VLOOKUP($AJ$4,測定結果!$A$4:$AQ$43,42)&gt;=VLOOKUP($AJ$4,測定結果!$A$4:$AQ$43,43),"○","")</f>
        <v>○</v>
      </c>
      <c r="P21" s="101"/>
      <c r="Q21" s="105">
        <f>INT(VLOOKUP($AJ$4,測定結果!$A$4:$BF$43,42)/10)-INT(VLOOKUP($AJ$4,測定結果!$A$4:$BF$43,42)/100)*10</f>
        <v>0</v>
      </c>
      <c r="R21" s="105">
        <f>INT(VLOOKUP($AJ$4,測定結果!$A$4:$BF$43,42)-INT(VLOOKUP($AJ$4,測定結果!$A$4:$BF$43,42)/10)*10)</f>
        <v>0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6" t="str">
        <f>IF(VLOOKUP($AJ$4,測定結果!$A$4:$AQ$43,42)&lt;VLOOKUP($AJ$4,測定結果!$A$4:$AQ$43,43),"○","")</f>
        <v/>
      </c>
      <c r="AC21" s="103"/>
      <c r="AD21" s="105">
        <f>INT(VLOOKUP($AJ$4,測定結果!$A$4:$BF$43,43)/10)-INT(VLOOKUP($AJ$4,測定結果!$A$4:$BF$43,43)/100)*10</f>
        <v>0</v>
      </c>
      <c r="AE21" s="105">
        <f>INT(VLOOKUP($AJ$4,測定結果!$A$4:$BF$43,43)-INT(VLOOKUP($AJ$4,測定結果!$A$4:$BF$43,43)/10)*10)</f>
        <v>0</v>
      </c>
      <c r="AF21" s="103"/>
      <c r="AG21" s="101"/>
      <c r="AH21" s="101"/>
    </row>
    <row r="22" spans="1:35" ht="30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5" ht="30" customHeight="1">
      <c r="A23" s="101"/>
      <c r="B23" s="174">
        <f>測定結果!E1</f>
        <v>6</v>
      </c>
      <c r="C23" s="174">
        <f>測定結果!G1</f>
        <v>2</v>
      </c>
      <c r="D23" s="169">
        <f>INT(VLOOKUP($AJ$4,測定結果!$A$4:$BF$43,1)/10)</f>
        <v>0</v>
      </c>
      <c r="E23" s="169">
        <f>VLOOKUP($AJ$4,測定結果!$A$4:$BF$43,1)-INT(VLOOKUP($AJ$4,測定結果!$A$4:$BF$43,1)/10)*10</f>
        <v>1</v>
      </c>
      <c r="F23" s="167" t="s">
        <v>121</v>
      </c>
      <c r="G23" s="166"/>
      <c r="H23" s="166"/>
      <c r="I23" s="166"/>
      <c r="J23" s="166"/>
      <c r="K23" s="255" t="s">
        <v>135</v>
      </c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166"/>
      <c r="W23" s="166"/>
      <c r="X23" s="166"/>
      <c r="Y23" s="166"/>
      <c r="Z23" s="166"/>
      <c r="AA23" s="167">
        <f>測定結果!E1</f>
        <v>6</v>
      </c>
      <c r="AB23" s="167"/>
      <c r="AC23" s="167"/>
      <c r="AD23" s="167">
        <f>測定結果!G1</f>
        <v>2</v>
      </c>
      <c r="AE23" s="167"/>
      <c r="AF23" s="256">
        <f>VLOOKUP($AJ$4,測定結果!A4:BF43,1)</f>
        <v>1</v>
      </c>
      <c r="AG23" s="256"/>
      <c r="AH23" s="165"/>
      <c r="AI23" s="175"/>
    </row>
    <row r="24" spans="1:35" ht="13.5" customHeight="1">
      <c r="A24" s="101"/>
      <c r="B24" s="165"/>
      <c r="C24" s="165"/>
      <c r="D24" s="165"/>
      <c r="E24" s="165"/>
      <c r="F24" s="165"/>
      <c r="G24" s="165"/>
      <c r="H24" s="165"/>
      <c r="I24" s="165"/>
      <c r="J24" s="257" t="str">
        <f>VLOOKUP($AJ$4,測定結果!A4:BF43,56)</f>
        <v/>
      </c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75"/>
    </row>
    <row r="25" spans="1:35" ht="36.75" customHeight="1">
      <c r="A25" s="101"/>
      <c r="B25" s="165"/>
      <c r="C25" s="165"/>
      <c r="D25" s="165"/>
      <c r="E25" s="165"/>
      <c r="F25" s="165"/>
      <c r="G25" s="165"/>
      <c r="H25" s="165"/>
      <c r="I25" s="165"/>
      <c r="J25" s="258" t="str">
        <f>VLOOKUP($AJ$4,測定結果!A4:BF43,2)</f>
        <v>A001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165"/>
      <c r="Z25" s="165"/>
      <c r="AA25" s="165"/>
      <c r="AB25" s="259" t="str">
        <f>IF(VLOOKUP($AJ$4,測定結果!A4:BF43,4)="男","○","")</f>
        <v/>
      </c>
      <c r="AC25" s="259"/>
      <c r="AD25" s="176"/>
      <c r="AE25" s="260" t="str">
        <f>IF(VLOOKUP($AJ$4,測定結果!A4:BF43,4)="女","○","")</f>
        <v/>
      </c>
      <c r="AF25" s="260"/>
      <c r="AG25" s="260"/>
      <c r="AH25" s="165"/>
      <c r="AI25" s="175"/>
    </row>
    <row r="26" spans="1:35" ht="15.75" customHeight="1">
      <c r="A26" s="101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75"/>
    </row>
    <row r="27" spans="1:35" ht="15.75" customHeight="1">
      <c r="A27" s="101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75"/>
    </row>
    <row r="28" spans="1:35" ht="15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</row>
    <row r="29" spans="1:35" ht="15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</row>
    <row r="30" spans="1:35" ht="15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</row>
    <row r="31" spans="1:35" ht="15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</row>
    <row r="32" spans="1:35" ht="15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</row>
    <row r="33" spans="1:40" ht="15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</row>
    <row r="34" spans="1:40" ht="15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</row>
    <row r="35" spans="1:40" ht="15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</row>
    <row r="36" spans="1:40" ht="15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</row>
    <row r="37" spans="1:40" ht="15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</row>
    <row r="38" spans="1:40" ht="15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</row>
    <row r="39" spans="1:40" ht="15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</row>
    <row r="40" spans="1:40" ht="15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</row>
    <row r="41" spans="1:40" ht="15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</row>
    <row r="42" spans="1:40" ht="15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40" ht="15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40" ht="15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</row>
    <row r="45" spans="1:40" ht="15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</row>
    <row r="46" spans="1:40" ht="15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</row>
    <row r="47" spans="1:40" s="7" customFormat="1" ht="30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5"/>
      <c r="K47" s="105"/>
      <c r="L47" s="105"/>
      <c r="M47" s="102"/>
      <c r="N47" s="177"/>
      <c r="O47" s="167"/>
      <c r="P47" s="170">
        <f>INT(VLOOKUP($AJ$4,測定結果!$A$4:$BF$43,45)/100)</f>
        <v>0</v>
      </c>
      <c r="Q47" s="170">
        <f>INT(VLOOKUP($AJ$4,測定結果!$A$4:$BF$43,45)/10)-INT(VLOOKUP($AJ$4,測定結果!$A$4:$BF$43,45)/100)*10</f>
        <v>0</v>
      </c>
      <c r="R47" s="170">
        <f>INT(VLOOKUP($AJ$4,測定結果!$A$4:$BF$43,45)-INT(VLOOKUP($AJ$4,測定結果!$A$4:$BF$43,45)/10)*10)</f>
        <v>0</v>
      </c>
      <c r="S47" s="167" t="s">
        <v>120</v>
      </c>
      <c r="T47" s="177">
        <f>(VLOOKUP($AJ$4,測定結果!$A$4:$BF$43,45)-INT(VLOOKUP($AJ$4,測定結果!$A$4:$BF$43,45)))*10</f>
        <v>0</v>
      </c>
      <c r="U47" s="170"/>
      <c r="V47" s="167"/>
      <c r="W47" s="177"/>
      <c r="X47" s="167"/>
      <c r="Y47" s="167"/>
      <c r="Z47" s="167"/>
      <c r="AA47" s="177">
        <f>INT(VLOOKUP($AJ$4,測定結果!$A$4:$BF$43,47)/100)</f>
        <v>0</v>
      </c>
      <c r="AB47" s="169">
        <f>INT(VLOOKUP($AJ$4,測定結果!$A$4:$BF$43,46)/10)-INT(VLOOKUP($AJ$4,測定結果!$A$4:$BF$43,46)/100)*10</f>
        <v>0</v>
      </c>
      <c r="AC47" s="169">
        <f>INT(VLOOKUP($AJ$4,測定結果!$A$4:$BF$43,46)-INT(VLOOKUP($AJ$4,測定結果!$A$4:$BF$43,46)/10)*10)</f>
        <v>0</v>
      </c>
      <c r="AD47" s="167" t="s">
        <v>121</v>
      </c>
      <c r="AE47" s="177">
        <f>(VLOOKUP($AJ$4,測定結果!$A$4:$BF$43,46)-INT(VLOOKUP($AJ$4,測定結果!$A$4:$BF$43,46)))*10</f>
        <v>0</v>
      </c>
      <c r="AF47" s="167" t="s">
        <v>121</v>
      </c>
      <c r="AG47" s="177"/>
      <c r="AH47" s="167"/>
      <c r="AI47" s="115"/>
      <c r="AJ47" s="115"/>
      <c r="AK47" s="115"/>
      <c r="AL47" s="115"/>
      <c r="AM47" s="115"/>
      <c r="AN47" s="115"/>
    </row>
  </sheetData>
  <sheetProtection formatColumns="0" formatRows="0"/>
  <mergeCells count="6">
    <mergeCell ref="K23:U23"/>
    <mergeCell ref="AF23:AG23"/>
    <mergeCell ref="J24:X24"/>
    <mergeCell ref="J25:X25"/>
    <mergeCell ref="AB25:AC25"/>
    <mergeCell ref="AE25:AG25"/>
  </mergeCells>
  <phoneticPr fontId="12"/>
  <conditionalFormatting sqref="Q5">
    <cfRule type="cellIs" dxfId="15" priority="16" stopIfTrue="1" operator="equal">
      <formula>0</formula>
    </cfRule>
  </conditionalFormatting>
  <conditionalFormatting sqref="AD5">
    <cfRule type="cellIs" dxfId="14" priority="15" stopIfTrue="1" operator="equal">
      <formula>0</formula>
    </cfRule>
  </conditionalFormatting>
  <conditionalFormatting sqref="Q7">
    <cfRule type="cellIs" dxfId="13" priority="14" stopIfTrue="1" operator="equal">
      <formula>0</formula>
    </cfRule>
  </conditionalFormatting>
  <conditionalFormatting sqref="AD7">
    <cfRule type="cellIs" dxfId="12" priority="13" stopIfTrue="1" operator="equal">
      <formula>0</formula>
    </cfRule>
  </conditionalFormatting>
  <conditionalFormatting sqref="AD9">
    <cfRule type="cellIs" dxfId="11" priority="12" stopIfTrue="1" operator="equal">
      <formula>0</formula>
    </cfRule>
  </conditionalFormatting>
  <conditionalFormatting sqref="Q11">
    <cfRule type="cellIs" dxfId="10" priority="11" stopIfTrue="1" operator="equal">
      <formula>0</formula>
    </cfRule>
  </conditionalFormatting>
  <conditionalFormatting sqref="AD11">
    <cfRule type="cellIs" dxfId="9" priority="10" stopIfTrue="1" operator="equal">
      <formula>0</formula>
    </cfRule>
  </conditionalFormatting>
  <conditionalFormatting sqref="Q13">
    <cfRule type="cellIs" dxfId="8" priority="9" stopIfTrue="1" operator="equal">
      <formula>0</formula>
    </cfRule>
  </conditionalFormatting>
  <conditionalFormatting sqref="AD13">
    <cfRule type="cellIs" dxfId="7" priority="8" stopIfTrue="1" operator="equal">
      <formula>0</formula>
    </cfRule>
  </conditionalFormatting>
  <conditionalFormatting sqref="AD15">
    <cfRule type="cellIs" dxfId="6" priority="7" stopIfTrue="1" operator="equal">
      <formula>0</formula>
    </cfRule>
  </conditionalFormatting>
  <conditionalFormatting sqref="AC15">
    <cfRule type="cellIs" dxfId="5" priority="6" stopIfTrue="1" operator="equal">
      <formula>0</formula>
    </cfRule>
  </conditionalFormatting>
  <conditionalFormatting sqref="AC15">
    <cfRule type="cellIs" dxfId="4" priority="5" stopIfTrue="1" operator="equal">
      <formula>0</formula>
    </cfRule>
  </conditionalFormatting>
  <conditionalFormatting sqref="AB17">
    <cfRule type="cellIs" dxfId="3" priority="4" stopIfTrue="1" operator="equal">
      <formula>0</formula>
    </cfRule>
  </conditionalFormatting>
  <conditionalFormatting sqref="P19">
    <cfRule type="cellIs" dxfId="2" priority="3" stopIfTrue="1" operator="equal">
      <formula>0</formula>
    </cfRule>
  </conditionalFormatting>
  <conditionalFormatting sqref="AC19">
    <cfRule type="cellIs" dxfId="1" priority="2" stopIfTrue="1" operator="equal">
      <formula>0</formula>
    </cfRule>
  </conditionalFormatting>
  <conditionalFormatting sqref="AA47">
    <cfRule type="cellIs" dxfId="0" priority="1" stopIfTrue="1" operator="equal">
      <formula>0</formula>
    </cfRule>
  </conditionalFormatting>
  <dataValidations count="1">
    <dataValidation imeMode="hiragana" allowBlank="1" showInputMessage="1" showErrorMessage="1" sqref="J24:X24" xr:uid="{00000000-0002-0000-0500-000000000000}"/>
  </dataValidations>
  <pageMargins left="0.74803149606299213" right="0.27559055118110237" top="0.82677165354330717" bottom="0.27559055118110237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9345" r:id="rId4" name="Spinner 1">
              <controlPr locked="0" defaultSize="0" autoPict="0">
                <anchor moveWithCells="1" sizeWithCells="1">
                  <from>
                    <xdr:col>35</xdr:col>
                    <xdr:colOff>47625</xdr:colOff>
                    <xdr:row>5</xdr:row>
                    <xdr:rowOff>28575</xdr:rowOff>
                  </from>
                  <to>
                    <xdr:col>35</xdr:col>
                    <xdr:colOff>533400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2"/>
  <sheetViews>
    <sheetView workbookViewId="0">
      <selection activeCell="N51" sqref="N51"/>
    </sheetView>
  </sheetViews>
  <sheetFormatPr defaultRowHeight="12"/>
  <cols>
    <col min="1" max="1" width="11" style="154" customWidth="1"/>
    <col min="2" max="16" width="5.42578125" customWidth="1"/>
  </cols>
  <sheetData>
    <row r="1" spans="1:16">
      <c r="A1" s="152" t="s">
        <v>67</v>
      </c>
      <c r="B1" s="261" t="s">
        <v>101</v>
      </c>
      <c r="C1" s="261"/>
      <c r="D1" s="261" t="s">
        <v>102</v>
      </c>
      <c r="E1" s="261"/>
      <c r="F1" s="90" t="s">
        <v>125</v>
      </c>
      <c r="G1" s="226" t="s">
        <v>109</v>
      </c>
      <c r="H1" s="226"/>
      <c r="I1" s="219" t="s">
        <v>119</v>
      </c>
      <c r="J1" s="220"/>
      <c r="K1" s="93" t="s">
        <v>126</v>
      </c>
      <c r="L1" s="96" t="s">
        <v>129</v>
      </c>
      <c r="M1" s="227" t="s">
        <v>110</v>
      </c>
      <c r="N1" s="227"/>
      <c r="O1" s="228" t="s">
        <v>111</v>
      </c>
      <c r="P1" s="228"/>
    </row>
    <row r="2" spans="1:16" ht="25.5" customHeight="1">
      <c r="A2" s="145" t="s">
        <v>67</v>
      </c>
      <c r="B2" s="153" t="s">
        <v>103</v>
      </c>
      <c r="C2" s="55" t="s">
        <v>104</v>
      </c>
      <c r="D2" s="56" t="s">
        <v>105</v>
      </c>
      <c r="E2" s="56" t="s">
        <v>106</v>
      </c>
      <c r="F2" s="91" t="s">
        <v>128</v>
      </c>
      <c r="G2" s="58" t="s">
        <v>107</v>
      </c>
      <c r="H2" s="58" t="s">
        <v>108</v>
      </c>
      <c r="I2" s="61" t="s">
        <v>107</v>
      </c>
      <c r="J2" s="61" t="s">
        <v>108</v>
      </c>
      <c r="K2" s="94" t="s">
        <v>127</v>
      </c>
      <c r="L2" s="56"/>
      <c r="M2" s="57" t="s">
        <v>107</v>
      </c>
      <c r="N2" s="57" t="s">
        <v>108</v>
      </c>
      <c r="O2" s="64" t="s">
        <v>107</v>
      </c>
      <c r="P2" s="64" t="s">
        <v>108</v>
      </c>
    </row>
    <row r="3" spans="1:16" ht="19.5" customHeight="1">
      <c r="A3" s="145" t="str">
        <f>測定結果!B4</f>
        <v>A001</v>
      </c>
      <c r="B3" s="100"/>
      <c r="C3" s="82"/>
      <c r="D3" s="83"/>
      <c r="E3" s="83"/>
      <c r="F3" s="92"/>
      <c r="G3" s="84"/>
      <c r="H3" s="84"/>
      <c r="I3" s="85"/>
      <c r="J3" s="85"/>
      <c r="K3" s="95"/>
      <c r="L3" s="83"/>
      <c r="M3" s="86"/>
      <c r="N3" s="86"/>
      <c r="O3" s="87"/>
      <c r="P3" s="87"/>
    </row>
    <row r="4" spans="1:16" ht="19.5" customHeight="1">
      <c r="A4" s="145" t="str">
        <f>測定結果!B5</f>
        <v>A002</v>
      </c>
      <c r="B4" s="100"/>
      <c r="C4" s="82"/>
      <c r="D4" s="83"/>
      <c r="E4" s="83"/>
      <c r="F4" s="92"/>
      <c r="G4" s="84"/>
      <c r="H4" s="84"/>
      <c r="I4" s="85"/>
      <c r="J4" s="85"/>
      <c r="K4" s="95"/>
      <c r="L4" s="83"/>
      <c r="M4" s="86"/>
      <c r="N4" s="86"/>
      <c r="O4" s="87"/>
      <c r="P4" s="87"/>
    </row>
    <row r="5" spans="1:16" ht="19.5" customHeight="1">
      <c r="A5" s="145" t="str">
        <f>測定結果!B6</f>
        <v>A003</v>
      </c>
      <c r="B5" s="100"/>
      <c r="C5" s="82"/>
      <c r="D5" s="83"/>
      <c r="E5" s="83"/>
      <c r="F5" s="92"/>
      <c r="G5" s="84"/>
      <c r="H5" s="84"/>
      <c r="I5" s="85"/>
      <c r="J5" s="85"/>
      <c r="K5" s="95"/>
      <c r="L5" s="83"/>
      <c r="M5" s="86"/>
      <c r="N5" s="86"/>
      <c r="O5" s="87"/>
      <c r="P5" s="87"/>
    </row>
    <row r="6" spans="1:16" ht="19.5" customHeight="1">
      <c r="A6" s="145" t="str">
        <f>測定結果!B7</f>
        <v>A004</v>
      </c>
      <c r="B6" s="100"/>
      <c r="C6" s="82"/>
      <c r="D6" s="83"/>
      <c r="E6" s="83"/>
      <c r="F6" s="92"/>
      <c r="G6" s="84"/>
      <c r="H6" s="84"/>
      <c r="I6" s="85"/>
      <c r="J6" s="85"/>
      <c r="K6" s="95"/>
      <c r="L6" s="83"/>
      <c r="M6" s="86"/>
      <c r="N6" s="86"/>
      <c r="O6" s="87"/>
      <c r="P6" s="87"/>
    </row>
    <row r="7" spans="1:16" ht="19.5" customHeight="1">
      <c r="A7" s="145" t="str">
        <f>測定結果!B8</f>
        <v>A005</v>
      </c>
      <c r="B7" s="100"/>
      <c r="C7" s="82"/>
      <c r="D7" s="83"/>
      <c r="E7" s="83"/>
      <c r="F7" s="92"/>
      <c r="G7" s="84"/>
      <c r="H7" s="84"/>
      <c r="I7" s="85"/>
      <c r="J7" s="85"/>
      <c r="K7" s="95"/>
      <c r="L7" s="83"/>
      <c r="M7" s="86"/>
      <c r="N7" s="86"/>
      <c r="O7" s="87"/>
      <c r="P7" s="87"/>
    </row>
    <row r="8" spans="1:16" ht="19.5" customHeight="1">
      <c r="A8" s="145" t="str">
        <f>測定結果!B9</f>
        <v>A006</v>
      </c>
      <c r="B8" s="100"/>
      <c r="C8" s="82"/>
      <c r="D8" s="83"/>
      <c r="E8" s="83"/>
      <c r="F8" s="92"/>
      <c r="G8" s="84"/>
      <c r="H8" s="84"/>
      <c r="I8" s="85"/>
      <c r="J8" s="85"/>
      <c r="K8" s="95"/>
      <c r="L8" s="83"/>
      <c r="M8" s="86"/>
      <c r="N8" s="86"/>
      <c r="O8" s="87"/>
      <c r="P8" s="87"/>
    </row>
    <row r="9" spans="1:16" ht="19.5" customHeight="1">
      <c r="A9" s="145" t="str">
        <f>測定結果!B10</f>
        <v>A007</v>
      </c>
      <c r="B9" s="100"/>
      <c r="C9" s="82"/>
      <c r="D9" s="83"/>
      <c r="E9" s="83"/>
      <c r="F9" s="92"/>
      <c r="G9" s="84"/>
      <c r="H9" s="84"/>
      <c r="I9" s="85"/>
      <c r="J9" s="85"/>
      <c r="K9" s="95"/>
      <c r="L9" s="83"/>
      <c r="M9" s="86"/>
      <c r="N9" s="86"/>
      <c r="O9" s="87"/>
      <c r="P9" s="87"/>
    </row>
    <row r="10" spans="1:16" ht="19.5" customHeight="1">
      <c r="A10" s="145" t="str">
        <f>測定結果!B11</f>
        <v>A008</v>
      </c>
      <c r="B10" s="100"/>
      <c r="C10" s="82"/>
      <c r="D10" s="83"/>
      <c r="E10" s="83"/>
      <c r="F10" s="92"/>
      <c r="G10" s="84"/>
      <c r="H10" s="84"/>
      <c r="I10" s="85"/>
      <c r="J10" s="85"/>
      <c r="K10" s="95"/>
      <c r="L10" s="83"/>
      <c r="M10" s="86"/>
      <c r="N10" s="86"/>
      <c r="O10" s="87"/>
      <c r="P10" s="87"/>
    </row>
    <row r="11" spans="1:16" ht="19.5" customHeight="1">
      <c r="A11" s="145" t="str">
        <f>測定結果!B12</f>
        <v>A009</v>
      </c>
      <c r="B11" s="100"/>
      <c r="C11" s="82"/>
      <c r="D11" s="83"/>
      <c r="E11" s="83"/>
      <c r="F11" s="92"/>
      <c r="G11" s="84"/>
      <c r="H11" s="84"/>
      <c r="I11" s="85"/>
      <c r="J11" s="85"/>
      <c r="K11" s="95"/>
      <c r="L11" s="83"/>
      <c r="M11" s="86"/>
      <c r="N11" s="86"/>
      <c r="O11" s="87"/>
      <c r="P11" s="87"/>
    </row>
    <row r="12" spans="1:16" ht="19.5" customHeight="1">
      <c r="A12" s="145" t="str">
        <f>測定結果!B13</f>
        <v>A010</v>
      </c>
      <c r="B12" s="100"/>
      <c r="C12" s="82"/>
      <c r="D12" s="83"/>
      <c r="E12" s="83"/>
      <c r="F12" s="92"/>
      <c r="G12" s="84"/>
      <c r="H12" s="84"/>
      <c r="I12" s="85"/>
      <c r="J12" s="85"/>
      <c r="K12" s="95"/>
      <c r="L12" s="83"/>
      <c r="M12" s="86"/>
      <c r="N12" s="86"/>
      <c r="O12" s="87"/>
      <c r="P12" s="87"/>
    </row>
    <row r="13" spans="1:16" ht="19.5" customHeight="1">
      <c r="A13" s="145" t="str">
        <f>測定結果!B14</f>
        <v>A011</v>
      </c>
      <c r="B13" s="100"/>
      <c r="C13" s="82"/>
      <c r="D13" s="83"/>
      <c r="E13" s="83"/>
      <c r="F13" s="92"/>
      <c r="G13" s="84"/>
      <c r="H13" s="84"/>
      <c r="I13" s="85"/>
      <c r="J13" s="85"/>
      <c r="K13" s="95"/>
      <c r="L13" s="83"/>
      <c r="M13" s="86"/>
      <c r="N13" s="86"/>
      <c r="O13" s="87"/>
      <c r="P13" s="87"/>
    </row>
    <row r="14" spans="1:16" ht="19.5" customHeight="1">
      <c r="A14" s="145" t="str">
        <f>測定結果!B15</f>
        <v>A012</v>
      </c>
      <c r="B14" s="100"/>
      <c r="C14" s="82"/>
      <c r="D14" s="83"/>
      <c r="E14" s="83"/>
      <c r="F14" s="92"/>
      <c r="G14" s="84"/>
      <c r="H14" s="84"/>
      <c r="I14" s="85"/>
      <c r="J14" s="85"/>
      <c r="K14" s="95"/>
      <c r="L14" s="83"/>
      <c r="M14" s="86"/>
      <c r="N14" s="86"/>
      <c r="O14" s="87"/>
      <c r="P14" s="87"/>
    </row>
    <row r="15" spans="1:16" ht="19.5" customHeight="1">
      <c r="A15" s="145" t="str">
        <f>測定結果!B16</f>
        <v>A013</v>
      </c>
      <c r="B15" s="100"/>
      <c r="C15" s="82"/>
      <c r="D15" s="83"/>
      <c r="E15" s="83"/>
      <c r="F15" s="92"/>
      <c r="G15" s="84"/>
      <c r="H15" s="84"/>
      <c r="I15" s="85"/>
      <c r="J15" s="85"/>
      <c r="K15" s="95"/>
      <c r="L15" s="83"/>
      <c r="M15" s="86"/>
      <c r="N15" s="86"/>
      <c r="O15" s="87"/>
      <c r="P15" s="87"/>
    </row>
    <row r="16" spans="1:16" ht="19.5" customHeight="1">
      <c r="A16" s="145" t="str">
        <f>測定結果!B17</f>
        <v>A014</v>
      </c>
      <c r="B16" s="100"/>
      <c r="C16" s="82"/>
      <c r="D16" s="83"/>
      <c r="E16" s="83"/>
      <c r="F16" s="92"/>
      <c r="G16" s="84"/>
      <c r="H16" s="84"/>
      <c r="I16" s="85"/>
      <c r="J16" s="85"/>
      <c r="K16" s="95"/>
      <c r="L16" s="83"/>
      <c r="M16" s="86"/>
      <c r="N16" s="86"/>
      <c r="O16" s="87"/>
      <c r="P16" s="87"/>
    </row>
    <row r="17" spans="1:16" ht="19.5" customHeight="1">
      <c r="A17" s="145" t="str">
        <f>測定結果!B18</f>
        <v>A015</v>
      </c>
      <c r="B17" s="100"/>
      <c r="C17" s="82"/>
      <c r="D17" s="83"/>
      <c r="E17" s="83"/>
      <c r="F17" s="92"/>
      <c r="G17" s="84"/>
      <c r="H17" s="84"/>
      <c r="I17" s="85"/>
      <c r="J17" s="85"/>
      <c r="K17" s="95"/>
      <c r="L17" s="83"/>
      <c r="M17" s="86"/>
      <c r="N17" s="86"/>
      <c r="O17" s="87"/>
      <c r="P17" s="87"/>
    </row>
    <row r="18" spans="1:16" ht="19.5" customHeight="1">
      <c r="A18" s="145" t="str">
        <f>測定結果!B19</f>
        <v>A016</v>
      </c>
      <c r="B18" s="100"/>
      <c r="C18" s="82"/>
      <c r="D18" s="83"/>
      <c r="E18" s="83"/>
      <c r="F18" s="92"/>
      <c r="G18" s="84"/>
      <c r="H18" s="84"/>
      <c r="I18" s="85"/>
      <c r="J18" s="85"/>
      <c r="K18" s="95"/>
      <c r="L18" s="83"/>
      <c r="M18" s="86"/>
      <c r="N18" s="86"/>
      <c r="O18" s="87"/>
      <c r="P18" s="87"/>
    </row>
    <row r="19" spans="1:16" ht="19.5" customHeight="1">
      <c r="A19" s="145" t="str">
        <f>測定結果!B20</f>
        <v>A017</v>
      </c>
      <c r="B19" s="100"/>
      <c r="C19" s="82"/>
      <c r="D19" s="83"/>
      <c r="E19" s="83"/>
      <c r="F19" s="92"/>
      <c r="G19" s="84"/>
      <c r="H19" s="84"/>
      <c r="I19" s="85"/>
      <c r="J19" s="85"/>
      <c r="K19" s="95"/>
      <c r="L19" s="83"/>
      <c r="M19" s="86"/>
      <c r="N19" s="86"/>
      <c r="O19" s="87"/>
      <c r="P19" s="87"/>
    </row>
    <row r="20" spans="1:16" ht="19.5" customHeight="1">
      <c r="A20" s="145" t="str">
        <f>測定結果!B21</f>
        <v>A018</v>
      </c>
      <c r="B20" s="100"/>
      <c r="C20" s="82"/>
      <c r="D20" s="83"/>
      <c r="E20" s="83"/>
      <c r="F20" s="92"/>
      <c r="G20" s="84"/>
      <c r="H20" s="84"/>
      <c r="I20" s="85"/>
      <c r="J20" s="85"/>
      <c r="K20" s="95"/>
      <c r="L20" s="83"/>
      <c r="M20" s="86"/>
      <c r="N20" s="86"/>
      <c r="O20" s="87"/>
      <c r="P20" s="87"/>
    </row>
    <row r="21" spans="1:16" ht="19.5" customHeight="1">
      <c r="A21" s="145" t="str">
        <f>測定結果!B22</f>
        <v>A019</v>
      </c>
      <c r="B21" s="100"/>
      <c r="C21" s="82"/>
      <c r="D21" s="83"/>
      <c r="E21" s="83"/>
      <c r="F21" s="92"/>
      <c r="G21" s="84"/>
      <c r="H21" s="84"/>
      <c r="I21" s="85"/>
      <c r="J21" s="85"/>
      <c r="K21" s="95"/>
      <c r="L21" s="83"/>
      <c r="M21" s="86"/>
      <c r="N21" s="86"/>
      <c r="O21" s="87"/>
      <c r="P21" s="87"/>
    </row>
    <row r="22" spans="1:16" ht="19.5" customHeight="1">
      <c r="A22" s="145" t="str">
        <f>測定結果!B23</f>
        <v>A020</v>
      </c>
      <c r="B22" s="100" t="s">
        <v>67</v>
      </c>
      <c r="C22" s="82"/>
      <c r="D22" s="83"/>
      <c r="E22" s="83"/>
      <c r="F22" s="92"/>
      <c r="G22" s="84"/>
      <c r="H22" s="84"/>
      <c r="I22" s="85"/>
      <c r="J22" s="85"/>
      <c r="K22" s="95"/>
      <c r="L22" s="83"/>
      <c r="M22" s="86"/>
      <c r="N22" s="86"/>
      <c r="O22" s="87"/>
      <c r="P22" s="87"/>
    </row>
    <row r="23" spans="1:16" ht="19.5" customHeight="1">
      <c r="A23" s="145" t="str">
        <f>測定結果!B24</f>
        <v>A021</v>
      </c>
      <c r="B23" s="100"/>
      <c r="C23" s="82"/>
      <c r="D23" s="83"/>
      <c r="E23" s="83"/>
      <c r="F23" s="92"/>
      <c r="G23" s="84"/>
      <c r="H23" s="84"/>
      <c r="I23" s="85"/>
      <c r="J23" s="85"/>
      <c r="K23" s="95"/>
      <c r="L23" s="83"/>
      <c r="M23" s="86"/>
      <c r="N23" s="86"/>
      <c r="O23" s="87"/>
      <c r="P23" s="87"/>
    </row>
    <row r="24" spans="1:16" ht="19.5" customHeight="1">
      <c r="A24" s="145" t="str">
        <f>測定結果!B25</f>
        <v>A022</v>
      </c>
      <c r="B24" s="100"/>
      <c r="C24" s="82"/>
      <c r="D24" s="83"/>
      <c r="E24" s="83"/>
      <c r="F24" s="92"/>
      <c r="G24" s="84"/>
      <c r="H24" s="84"/>
      <c r="I24" s="85"/>
      <c r="J24" s="85"/>
      <c r="K24" s="95"/>
      <c r="L24" s="83"/>
      <c r="M24" s="86"/>
      <c r="N24" s="86"/>
      <c r="O24" s="87"/>
      <c r="P24" s="87"/>
    </row>
    <row r="25" spans="1:16" ht="19.5" customHeight="1">
      <c r="A25" s="145" t="str">
        <f>測定結果!B26</f>
        <v>A023</v>
      </c>
      <c r="B25" s="100"/>
      <c r="C25" s="82"/>
      <c r="D25" s="83"/>
      <c r="E25" s="83"/>
      <c r="F25" s="92"/>
      <c r="G25" s="84"/>
      <c r="H25" s="84"/>
      <c r="I25" s="85"/>
      <c r="J25" s="85"/>
      <c r="K25" s="95"/>
      <c r="L25" s="83"/>
      <c r="M25" s="86"/>
      <c r="N25" s="86"/>
      <c r="O25" s="87"/>
      <c r="P25" s="87"/>
    </row>
    <row r="26" spans="1:16" ht="19.5" customHeight="1">
      <c r="A26" s="145" t="str">
        <f>測定結果!B27</f>
        <v>A024</v>
      </c>
      <c r="B26" s="100"/>
      <c r="C26" s="82"/>
      <c r="D26" s="83"/>
      <c r="E26" s="83"/>
      <c r="F26" s="92"/>
      <c r="G26" s="84"/>
      <c r="H26" s="84"/>
      <c r="I26" s="85"/>
      <c r="J26" s="85"/>
      <c r="K26" s="95"/>
      <c r="L26" s="83"/>
      <c r="M26" s="86"/>
      <c r="N26" s="86"/>
      <c r="O26" s="87"/>
      <c r="P26" s="87"/>
    </row>
    <row r="27" spans="1:16" ht="19.5" customHeight="1">
      <c r="A27" s="145" t="str">
        <f>測定結果!B28</f>
        <v>A025</v>
      </c>
      <c r="B27" s="100"/>
      <c r="C27" s="82"/>
      <c r="D27" s="83"/>
      <c r="E27" s="83"/>
      <c r="F27" s="92"/>
      <c r="G27" s="84"/>
      <c r="H27" s="84"/>
      <c r="I27" s="85"/>
      <c r="J27" s="85"/>
      <c r="K27" s="95"/>
      <c r="L27" s="83"/>
      <c r="M27" s="86"/>
      <c r="N27" s="86"/>
      <c r="O27" s="87"/>
      <c r="P27" s="87"/>
    </row>
    <row r="28" spans="1:16" ht="19.5" customHeight="1">
      <c r="A28" s="145" t="str">
        <f>測定結果!B29</f>
        <v>A026</v>
      </c>
      <c r="B28" s="100"/>
      <c r="C28" s="82"/>
      <c r="D28" s="83"/>
      <c r="E28" s="83"/>
      <c r="F28" s="92"/>
      <c r="G28" s="84"/>
      <c r="H28" s="84"/>
      <c r="I28" s="85"/>
      <c r="J28" s="85"/>
      <c r="K28" s="95"/>
      <c r="L28" s="83"/>
      <c r="M28" s="86"/>
      <c r="N28" s="86"/>
      <c r="O28" s="87"/>
      <c r="P28" s="87"/>
    </row>
    <row r="29" spans="1:16" ht="19.5" customHeight="1">
      <c r="A29" s="145" t="str">
        <f>測定結果!B30</f>
        <v>A027</v>
      </c>
      <c r="B29" s="100"/>
      <c r="C29" s="82"/>
      <c r="D29" s="83"/>
      <c r="E29" s="83"/>
      <c r="F29" s="92"/>
      <c r="G29" s="84"/>
      <c r="H29" s="84"/>
      <c r="I29" s="85"/>
      <c r="J29" s="85"/>
      <c r="K29" s="95"/>
      <c r="L29" s="83"/>
      <c r="M29" s="86"/>
      <c r="N29" s="86"/>
      <c r="O29" s="87"/>
      <c r="P29" s="87"/>
    </row>
    <row r="30" spans="1:16" ht="19.5" customHeight="1">
      <c r="A30" s="145" t="str">
        <f>測定結果!B31</f>
        <v>A028</v>
      </c>
      <c r="B30" s="100"/>
      <c r="C30" s="82"/>
      <c r="D30" s="83"/>
      <c r="E30" s="83"/>
      <c r="F30" s="92"/>
      <c r="G30" s="84"/>
      <c r="H30" s="84"/>
      <c r="I30" s="85"/>
      <c r="J30" s="85"/>
      <c r="K30" s="95"/>
      <c r="L30" s="83"/>
      <c r="M30" s="86"/>
      <c r="N30" s="86"/>
      <c r="O30" s="87"/>
      <c r="P30" s="87"/>
    </row>
    <row r="31" spans="1:16" ht="19.5" customHeight="1">
      <c r="A31" s="145" t="str">
        <f>測定結果!B32</f>
        <v>A029</v>
      </c>
      <c r="B31" s="100"/>
      <c r="C31" s="82"/>
      <c r="D31" s="83"/>
      <c r="E31" s="83"/>
      <c r="F31" s="92"/>
      <c r="G31" s="84"/>
      <c r="H31" s="84"/>
      <c r="I31" s="85"/>
      <c r="J31" s="85"/>
      <c r="K31" s="95"/>
      <c r="L31" s="83"/>
      <c r="M31" s="86"/>
      <c r="N31" s="86"/>
      <c r="O31" s="87"/>
      <c r="P31" s="87"/>
    </row>
    <row r="32" spans="1:16" ht="19.5" customHeight="1">
      <c r="A32" s="145" t="str">
        <f>測定結果!B33</f>
        <v>A030</v>
      </c>
      <c r="B32" s="100"/>
      <c r="C32" s="82"/>
      <c r="D32" s="83"/>
      <c r="E32" s="83"/>
      <c r="F32" s="92"/>
      <c r="G32" s="84"/>
      <c r="H32" s="84"/>
      <c r="I32" s="85"/>
      <c r="J32" s="85"/>
      <c r="K32" s="95"/>
      <c r="L32" s="83"/>
      <c r="M32" s="86"/>
      <c r="N32" s="86"/>
      <c r="O32" s="87"/>
      <c r="P32" s="87"/>
    </row>
    <row r="33" spans="1:16" ht="19.5" customHeight="1">
      <c r="A33" s="145" t="str">
        <f>測定結果!B34</f>
        <v>A031</v>
      </c>
      <c r="B33" s="100"/>
      <c r="C33" s="82"/>
      <c r="D33" s="83"/>
      <c r="E33" s="83"/>
      <c r="F33" s="92"/>
      <c r="G33" s="84"/>
      <c r="H33" s="84"/>
      <c r="I33" s="85"/>
      <c r="J33" s="85"/>
      <c r="K33" s="95"/>
      <c r="L33" s="83"/>
      <c r="M33" s="86"/>
      <c r="N33" s="86"/>
      <c r="O33" s="87"/>
      <c r="P33" s="87"/>
    </row>
    <row r="34" spans="1:16" ht="19.5" customHeight="1">
      <c r="A34" s="145" t="str">
        <f>測定結果!B35</f>
        <v>A032</v>
      </c>
      <c r="B34" s="100"/>
      <c r="C34" s="82"/>
      <c r="D34" s="83"/>
      <c r="E34" s="83"/>
      <c r="F34" s="92"/>
      <c r="G34" s="84"/>
      <c r="H34" s="84"/>
      <c r="I34" s="85"/>
      <c r="J34" s="85"/>
      <c r="K34" s="95"/>
      <c r="L34" s="83"/>
      <c r="M34" s="86"/>
      <c r="N34" s="86"/>
      <c r="O34" s="87"/>
      <c r="P34" s="87"/>
    </row>
    <row r="35" spans="1:16" ht="19.5" customHeight="1">
      <c r="A35" s="145" t="str">
        <f>測定結果!B36</f>
        <v>A033</v>
      </c>
      <c r="B35" s="100"/>
      <c r="C35" s="82"/>
      <c r="D35" s="83"/>
      <c r="E35" s="83"/>
      <c r="F35" s="92"/>
      <c r="G35" s="84"/>
      <c r="H35" s="84"/>
      <c r="I35" s="85"/>
      <c r="J35" s="85"/>
      <c r="K35" s="95"/>
      <c r="L35" s="83"/>
      <c r="M35" s="86"/>
      <c r="N35" s="86"/>
      <c r="O35" s="87"/>
      <c r="P35" s="87"/>
    </row>
    <row r="36" spans="1:16" ht="19.5" customHeight="1">
      <c r="A36" s="145" t="str">
        <f>測定結果!B37</f>
        <v>A034</v>
      </c>
      <c r="B36" s="100"/>
      <c r="C36" s="82"/>
      <c r="D36" s="83"/>
      <c r="E36" s="83"/>
      <c r="F36" s="92"/>
      <c r="G36" s="84"/>
      <c r="H36" s="84"/>
      <c r="I36" s="85"/>
      <c r="J36" s="85"/>
      <c r="K36" s="95"/>
      <c r="L36" s="83"/>
      <c r="M36" s="86"/>
      <c r="N36" s="86"/>
      <c r="O36" s="87"/>
      <c r="P36" s="87"/>
    </row>
    <row r="37" spans="1:16" ht="19.5" customHeight="1">
      <c r="A37" s="145" t="str">
        <f>測定結果!B38</f>
        <v>A035</v>
      </c>
      <c r="B37" s="100"/>
      <c r="C37" s="82"/>
      <c r="D37" s="83"/>
      <c r="E37" s="83"/>
      <c r="F37" s="92"/>
      <c r="G37" s="84"/>
      <c r="H37" s="84"/>
      <c r="I37" s="85"/>
      <c r="J37" s="85"/>
      <c r="K37" s="95"/>
      <c r="L37" s="83"/>
      <c r="M37" s="86"/>
      <c r="N37" s="86"/>
      <c r="O37" s="87"/>
      <c r="P37" s="87"/>
    </row>
    <row r="38" spans="1:16" ht="19.5" customHeight="1">
      <c r="A38" s="145" t="str">
        <f>測定結果!B39</f>
        <v>A036</v>
      </c>
      <c r="B38" s="100"/>
      <c r="C38" s="82"/>
      <c r="D38" s="83"/>
      <c r="E38" s="83"/>
      <c r="F38" s="92"/>
      <c r="G38" s="84"/>
      <c r="H38" s="84"/>
      <c r="I38" s="85"/>
      <c r="J38" s="85"/>
      <c r="K38" s="95"/>
      <c r="L38" s="83"/>
      <c r="M38" s="86"/>
      <c r="N38" s="86"/>
      <c r="O38" s="87"/>
      <c r="P38" s="87"/>
    </row>
    <row r="39" spans="1:16" ht="19.5" customHeight="1">
      <c r="A39" s="145" t="str">
        <f>測定結果!B40</f>
        <v>A037</v>
      </c>
      <c r="B39" s="100"/>
      <c r="C39" s="82"/>
      <c r="D39" s="83"/>
      <c r="E39" s="83"/>
      <c r="F39" s="92"/>
      <c r="G39" s="84"/>
      <c r="H39" s="84"/>
      <c r="I39" s="85"/>
      <c r="J39" s="85"/>
      <c r="K39" s="95"/>
      <c r="L39" s="83"/>
      <c r="M39" s="86"/>
      <c r="N39" s="86"/>
      <c r="O39" s="87"/>
      <c r="P39" s="87"/>
    </row>
    <row r="40" spans="1:16" ht="19.5" customHeight="1">
      <c r="A40" s="145" t="str">
        <f>測定結果!B41</f>
        <v>A038</v>
      </c>
      <c r="B40" s="100"/>
      <c r="C40" s="82"/>
      <c r="D40" s="83"/>
      <c r="E40" s="83"/>
      <c r="F40" s="92"/>
      <c r="G40" s="84"/>
      <c r="H40" s="84"/>
      <c r="I40" s="85"/>
      <c r="J40" s="85"/>
      <c r="K40" s="95"/>
      <c r="L40" s="83"/>
      <c r="M40" s="86"/>
      <c r="N40" s="86"/>
      <c r="O40" s="87"/>
      <c r="P40" s="87"/>
    </row>
    <row r="41" spans="1:16" ht="19.5" customHeight="1">
      <c r="A41" s="145" t="str">
        <f>測定結果!B42</f>
        <v>A039</v>
      </c>
      <c r="B41" s="100"/>
      <c r="C41" s="82"/>
      <c r="D41" s="83"/>
      <c r="E41" s="83"/>
      <c r="F41" s="92"/>
      <c r="G41" s="84"/>
      <c r="H41" s="84"/>
      <c r="I41" s="85"/>
      <c r="J41" s="85"/>
      <c r="K41" s="95"/>
      <c r="L41" s="83"/>
      <c r="M41" s="86"/>
      <c r="N41" s="86"/>
      <c r="O41" s="87"/>
      <c r="P41" s="87"/>
    </row>
    <row r="42" spans="1:16" ht="19.5" customHeight="1">
      <c r="A42" s="145" t="str">
        <f>測定結果!B43</f>
        <v>A040</v>
      </c>
      <c r="B42" s="100"/>
      <c r="C42" s="82"/>
      <c r="D42" s="83"/>
      <c r="E42" s="83"/>
      <c r="F42" s="92"/>
      <c r="G42" s="84"/>
      <c r="H42" s="84"/>
      <c r="I42" s="85"/>
      <c r="J42" s="85"/>
      <c r="K42" s="95"/>
      <c r="L42" s="83"/>
      <c r="M42" s="86"/>
      <c r="N42" s="86"/>
      <c r="O42" s="87"/>
      <c r="P42" s="87"/>
    </row>
  </sheetData>
  <mergeCells count="6">
    <mergeCell ref="O1:P1"/>
    <mergeCell ref="B1:C1"/>
    <mergeCell ref="D1:E1"/>
    <mergeCell ref="G1:H1"/>
    <mergeCell ref="I1:J1"/>
    <mergeCell ref="M1:N1"/>
  </mergeCells>
  <phoneticPr fontId="12"/>
  <pageMargins left="0.51181102362204722" right="0.31496062992125984" top="0.35433070866141736" bottom="0.35433070866141736" header="0.31496062992125984" footer="0.31496062992125984"/>
  <pageSetup paperSize="9" scale="115" orientation="portrait" blackAndWhite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G15"/>
  <sheetViews>
    <sheetView workbookViewId="0">
      <selection activeCell="E15" sqref="E15"/>
    </sheetView>
  </sheetViews>
  <sheetFormatPr defaultRowHeight="14.25"/>
  <cols>
    <col min="1" max="2" width="10.42578125" style="1" customWidth="1"/>
    <col min="3" max="4" width="2.7109375" style="1" customWidth="1"/>
    <col min="5" max="6" width="11.42578125" style="1" customWidth="1"/>
    <col min="7" max="7" width="3.28515625" style="1" customWidth="1"/>
    <col min="8" max="16384" width="9.140625" style="1"/>
  </cols>
  <sheetData>
    <row r="1" spans="1:7" ht="28.5">
      <c r="A1" s="3" t="s">
        <v>6</v>
      </c>
      <c r="B1" s="4"/>
      <c r="C1" s="5"/>
      <c r="D1" s="5"/>
      <c r="E1" s="6"/>
      <c r="F1" s="6"/>
      <c r="G1"/>
    </row>
    <row r="2" spans="1:7" ht="23.25" customHeight="1">
      <c r="A2" s="12" t="s">
        <v>46</v>
      </c>
      <c r="B2" s="14" t="s">
        <v>7</v>
      </c>
      <c r="C2" s="5"/>
      <c r="D2" s="5"/>
      <c r="E2" s="13" t="s">
        <v>22</v>
      </c>
      <c r="F2" s="14" t="s">
        <v>7</v>
      </c>
      <c r="G2"/>
    </row>
    <row r="3" spans="1:7" ht="23.25" customHeight="1">
      <c r="A3" s="15" t="s">
        <v>96</v>
      </c>
      <c r="B3" s="16">
        <f>DCOUNTA(測定結果!$X$2:$X$43,測定結果!$X$2,人数表!A2:A3)</f>
        <v>0</v>
      </c>
      <c r="C3" s="5"/>
      <c r="D3" s="5"/>
      <c r="E3" s="15" t="s">
        <v>48</v>
      </c>
      <c r="F3" s="16">
        <f>DCOUNTA(測定結果!$D$2:$D$43,測定結果!$D$2,人数表!E2:E3)</f>
        <v>0</v>
      </c>
      <c r="G3"/>
    </row>
    <row r="4" spans="1:7" ht="23.25" customHeight="1">
      <c r="A4" s="12" t="s">
        <v>46</v>
      </c>
      <c r="B4" s="14" t="s">
        <v>7</v>
      </c>
      <c r="C4" s="5"/>
      <c r="D4" s="5"/>
      <c r="E4" s="13" t="s">
        <v>22</v>
      </c>
      <c r="F4" s="14" t="s">
        <v>7</v>
      </c>
      <c r="G4"/>
    </row>
    <row r="5" spans="1:7" ht="23.25" customHeight="1">
      <c r="A5" s="17" t="s">
        <v>97</v>
      </c>
      <c r="B5" s="18">
        <f>DCOUNTA(測定結果!$X$2:$X$43,測定結果!$X$2,人数表!A4:A5)</f>
        <v>0</v>
      </c>
      <c r="C5" s="5"/>
      <c r="D5" s="5"/>
      <c r="E5" s="15" t="s">
        <v>49</v>
      </c>
      <c r="F5" s="16">
        <f>DCOUNTA(測定結果!$D$2:$D$43,測定結果!$D$2,人数表!E4:E5)</f>
        <v>0</v>
      </c>
      <c r="G5"/>
    </row>
    <row r="6" spans="1:7" ht="23.25" customHeight="1">
      <c r="A6" s="12" t="s">
        <v>46</v>
      </c>
      <c r="B6" s="14" t="s">
        <v>7</v>
      </c>
      <c r="C6" s="5"/>
      <c r="D6" s="5"/>
      <c r="E6" s="19" t="s">
        <v>14</v>
      </c>
      <c r="F6" s="20">
        <f>IF(AND(F3="",F5=""),"",SUM(F3,F5))</f>
        <v>0</v>
      </c>
      <c r="G6"/>
    </row>
    <row r="7" spans="1:7" ht="23.25" customHeight="1">
      <c r="A7" s="17" t="s">
        <v>98</v>
      </c>
      <c r="B7" s="18">
        <f>DCOUNTA(測定結果!$X$2:$X$43,測定結果!$X$2,人数表!A6:A7)</f>
        <v>0</v>
      </c>
      <c r="C7" s="5"/>
      <c r="D7" s="5"/>
      <c r="E7" s="6"/>
      <c r="F7" s="6"/>
      <c r="G7"/>
    </row>
    <row r="8" spans="1:7" ht="23.25" customHeight="1">
      <c r="A8" s="12" t="s">
        <v>46</v>
      </c>
      <c r="B8" s="14" t="s">
        <v>7</v>
      </c>
      <c r="C8" s="5"/>
      <c r="D8" s="5"/>
      <c r="E8" s="6"/>
      <c r="F8" s="6"/>
      <c r="G8"/>
    </row>
    <row r="9" spans="1:7" ht="23.25" customHeight="1">
      <c r="A9" s="17" t="s">
        <v>99</v>
      </c>
      <c r="B9" s="18">
        <f>DCOUNTA(測定結果!$X$2:$X$43,測定結果!$X$2,人数表!A8:A9)</f>
        <v>0</v>
      </c>
      <c r="C9" s="5"/>
      <c r="D9" s="5"/>
      <c r="E9" s="6"/>
      <c r="F9" s="6"/>
      <c r="G9"/>
    </row>
    <row r="10" spans="1:7" ht="23.25" customHeight="1">
      <c r="A10" s="12" t="s">
        <v>46</v>
      </c>
      <c r="B10" s="14" t="s">
        <v>7</v>
      </c>
      <c r="C10" s="5"/>
      <c r="D10" s="5"/>
      <c r="E10" s="6"/>
      <c r="F10" s="6"/>
      <c r="G10"/>
    </row>
    <row r="11" spans="1:7" ht="23.25" customHeight="1">
      <c r="A11" s="17" t="s">
        <v>100</v>
      </c>
      <c r="B11" s="18">
        <f>DCOUNTA(測定結果!$X$2:$X$43,測定結果!$X$2,人数表!A10:A11)</f>
        <v>0</v>
      </c>
      <c r="C11" s="5"/>
      <c r="D11" s="5"/>
      <c r="E11" s="6"/>
      <c r="F11" s="6"/>
      <c r="G11"/>
    </row>
    <row r="12" spans="1:7" ht="23.25" customHeight="1">
      <c r="A12" s="12" t="s">
        <v>46</v>
      </c>
      <c r="B12" s="14" t="s">
        <v>7</v>
      </c>
      <c r="C12" s="5"/>
      <c r="D12" s="5"/>
      <c r="E12" s="6"/>
      <c r="F12" s="6"/>
      <c r="G12"/>
    </row>
    <row r="13" spans="1:7" ht="23.25" customHeight="1">
      <c r="A13" s="17" t="s">
        <v>13</v>
      </c>
      <c r="B13" s="18">
        <f>DCOUNTA(測定結果!$X$2:$X$43,測定結果!$X$2,人数表!A12:A13)</f>
        <v>0</v>
      </c>
      <c r="C13" s="5"/>
      <c r="D13" s="5"/>
      <c r="E13" s="6"/>
      <c r="F13" s="6"/>
      <c r="G13"/>
    </row>
    <row r="14" spans="1:7" ht="23.25" customHeight="1">
      <c r="A14" s="12" t="s">
        <v>46</v>
      </c>
      <c r="B14" s="14" t="s">
        <v>7</v>
      </c>
      <c r="C14" s="5"/>
      <c r="D14" s="5"/>
      <c r="E14" s="6"/>
      <c r="F14" s="6"/>
      <c r="G14"/>
    </row>
    <row r="15" spans="1:7" ht="23.25" customHeight="1">
      <c r="A15" s="17" t="s">
        <v>47</v>
      </c>
      <c r="B15" s="18">
        <f>DCOUNTA(測定結果!$X$2:$X$43,測定結果!$X$2,人数表!A14:A15)</f>
        <v>40</v>
      </c>
      <c r="C15" s="5"/>
      <c r="D15" s="5"/>
      <c r="E15" s="6"/>
      <c r="F15" s="6"/>
      <c r="G15"/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AH89"/>
  <sheetViews>
    <sheetView topLeftCell="K43" workbookViewId="0">
      <selection activeCell="AF83" sqref="AF83"/>
    </sheetView>
  </sheetViews>
  <sheetFormatPr defaultColWidth="10.7109375" defaultRowHeight="12"/>
  <cols>
    <col min="1" max="1" width="7.28515625" customWidth="1"/>
    <col min="2" max="7" width="5.42578125" customWidth="1"/>
    <col min="8" max="8" width="10.7109375" customWidth="1"/>
    <col min="9" max="14" width="6.7109375" customWidth="1"/>
    <col min="15" max="15" width="4.7109375" customWidth="1"/>
    <col min="16" max="16" width="2.7109375" customWidth="1"/>
    <col min="17" max="17" width="17.42578125" customWidth="1"/>
    <col min="18" max="18" width="18.7109375" customWidth="1"/>
    <col min="19" max="19" width="17.42578125" customWidth="1"/>
    <col min="20" max="20" width="18.7109375" customWidth="1"/>
    <col min="21" max="21" width="17.42578125" customWidth="1"/>
    <col min="22" max="22" width="18.7109375" customWidth="1"/>
    <col min="23" max="23" width="17.42578125" customWidth="1"/>
    <col min="24" max="24" width="18.7109375" customWidth="1"/>
    <col min="25" max="25" width="17.42578125" customWidth="1"/>
    <col min="26" max="26" width="18.7109375" customWidth="1"/>
    <col min="27" max="27" width="17.42578125" customWidth="1"/>
    <col min="28" max="28" width="18.7109375" customWidth="1"/>
    <col min="29" max="29" width="17.42578125" customWidth="1"/>
    <col min="30" max="30" width="18.7109375" customWidth="1"/>
    <col min="31" max="31" width="17.42578125" customWidth="1"/>
    <col min="32" max="32" width="21.85546875" customWidth="1"/>
    <col min="33" max="33" width="18.7109375" customWidth="1"/>
    <col min="34" max="34" width="9.7109375" customWidth="1"/>
    <col min="35" max="104" width="6.7109375" customWidth="1"/>
    <col min="105" max="124" width="5.7109375" customWidth="1"/>
  </cols>
  <sheetData>
    <row r="1" spans="1:7" ht="16.899999999999999" customHeight="1"/>
    <row r="2" spans="1:7">
      <c r="A2" s="2" t="s">
        <v>85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</row>
    <row r="3" spans="1:7">
      <c r="A3" s="2">
        <v>0</v>
      </c>
      <c r="B3" s="2" t="s">
        <v>19</v>
      </c>
      <c r="C3" s="2" t="s">
        <v>19</v>
      </c>
      <c r="D3" s="2" t="s">
        <v>19</v>
      </c>
      <c r="E3" s="2" t="s">
        <v>19</v>
      </c>
      <c r="F3" s="2" t="s">
        <v>19</v>
      </c>
      <c r="G3" s="2" t="s">
        <v>19</v>
      </c>
    </row>
    <row r="4" spans="1:7">
      <c r="A4" s="2">
        <v>6</v>
      </c>
      <c r="B4" s="2" t="s">
        <v>19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</row>
    <row r="5" spans="1:7">
      <c r="A5" s="2">
        <v>11</v>
      </c>
      <c r="B5" s="2" t="s">
        <v>19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</row>
    <row r="6" spans="1:7">
      <c r="A6" s="2">
        <v>21</v>
      </c>
      <c r="B6" s="2" t="s">
        <v>19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</row>
    <row r="7" spans="1:7">
      <c r="A7" s="2">
        <v>31</v>
      </c>
      <c r="B7" s="2" t="s">
        <v>19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</row>
    <row r="8" spans="1:7">
      <c r="A8" s="2">
        <v>41</v>
      </c>
      <c r="B8" s="2" t="s">
        <v>19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</row>
    <row r="11" spans="1:7">
      <c r="A11" s="2" t="s">
        <v>33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>
      <c r="A12" s="2">
        <v>0</v>
      </c>
      <c r="B12" s="2" t="s">
        <v>19</v>
      </c>
      <c r="C12" s="2" t="s">
        <v>19</v>
      </c>
      <c r="D12" s="2" t="s">
        <v>19</v>
      </c>
      <c r="E12" s="2" t="s">
        <v>19</v>
      </c>
      <c r="F12" s="2" t="s">
        <v>19</v>
      </c>
      <c r="G12" s="2" t="s">
        <v>19</v>
      </c>
    </row>
    <row r="13" spans="1:7">
      <c r="A13" s="2">
        <v>5</v>
      </c>
      <c r="B13" s="2" t="s">
        <v>19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</row>
    <row r="14" spans="1:7">
      <c r="A14" s="2">
        <v>9</v>
      </c>
      <c r="B14" s="2" t="s">
        <v>19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</row>
    <row r="15" spans="1:7">
      <c r="A15" s="2">
        <v>17</v>
      </c>
      <c r="B15" s="2" t="s">
        <v>19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</row>
    <row r="16" spans="1:7">
      <c r="A16" s="2">
        <v>25</v>
      </c>
      <c r="B16" s="2" t="s">
        <v>19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</row>
    <row r="17" spans="1:10">
      <c r="A17" s="2">
        <v>33</v>
      </c>
      <c r="B17" s="2" t="s">
        <v>19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</row>
    <row r="19" spans="1:10">
      <c r="I19" t="s">
        <v>32</v>
      </c>
    </row>
    <row r="20" spans="1:10">
      <c r="I20" s="2">
        <v>6</v>
      </c>
      <c r="J20" s="2" t="s">
        <v>25</v>
      </c>
    </row>
    <row r="21" spans="1:10">
      <c r="I21" s="2">
        <v>7</v>
      </c>
      <c r="J21" s="2" t="s">
        <v>26</v>
      </c>
    </row>
    <row r="22" spans="1:10">
      <c r="I22" s="2">
        <v>8</v>
      </c>
      <c r="J22" s="2" t="s">
        <v>27</v>
      </c>
    </row>
    <row r="23" spans="1:10">
      <c r="I23" s="2">
        <v>9</v>
      </c>
      <c r="J23" s="2" t="s">
        <v>28</v>
      </c>
    </row>
    <row r="24" spans="1:10">
      <c r="I24" s="2">
        <v>10</v>
      </c>
      <c r="J24" s="2" t="s">
        <v>29</v>
      </c>
    </row>
    <row r="25" spans="1:10">
      <c r="I25" s="2">
        <v>11</v>
      </c>
      <c r="J25" s="2" t="s">
        <v>30</v>
      </c>
    </row>
    <row r="26" spans="1:10">
      <c r="I26" s="2">
        <v>12</v>
      </c>
      <c r="J26" s="2" t="s">
        <v>31</v>
      </c>
    </row>
    <row r="27" spans="1:10">
      <c r="I27" s="2"/>
      <c r="J27" s="2"/>
    </row>
    <row r="28" spans="1:10">
      <c r="I28" s="2"/>
      <c r="J28" s="2"/>
    </row>
    <row r="29" spans="1:10">
      <c r="I29" s="2"/>
      <c r="J29" s="2"/>
    </row>
    <row r="30" spans="1:10">
      <c r="I30" s="2"/>
      <c r="J30" s="2"/>
    </row>
    <row r="31" spans="1:10">
      <c r="I31" s="2"/>
      <c r="J31" s="2"/>
    </row>
    <row r="32" spans="1:10">
      <c r="I32" s="2"/>
      <c r="J32" s="2"/>
    </row>
    <row r="33" spans="9:15">
      <c r="I33" s="2"/>
      <c r="J33" s="2"/>
    </row>
    <row r="34" spans="9:15">
      <c r="I34" s="2"/>
      <c r="J34" s="2"/>
    </row>
    <row r="35" spans="9:15">
      <c r="I35" s="2"/>
      <c r="J35" s="2"/>
    </row>
    <row r="36" spans="9:15">
      <c r="I36" s="2"/>
      <c r="J36" s="2"/>
    </row>
    <row r="37" spans="9:15">
      <c r="I37" s="2"/>
      <c r="J37" s="2"/>
    </row>
    <row r="38" spans="9:15">
      <c r="I38" s="2"/>
      <c r="J38" s="2"/>
    </row>
    <row r="39" spans="9:15">
      <c r="I39" s="2"/>
      <c r="J39" s="2"/>
    </row>
    <row r="40" spans="9:15">
      <c r="I40" s="2"/>
      <c r="J40" s="2"/>
    </row>
    <row r="41" spans="9:15">
      <c r="I41" s="2"/>
      <c r="J41" s="2"/>
    </row>
    <row r="42" spans="9:15">
      <c r="I42" s="2"/>
      <c r="J42" s="2"/>
    </row>
    <row r="43" spans="9:15">
      <c r="I43" s="2"/>
      <c r="J43" s="2"/>
    </row>
    <row r="45" spans="9:15">
      <c r="L45" s="11"/>
      <c r="M45" s="11"/>
    </row>
    <row r="46" spans="9:15">
      <c r="L46" s="10"/>
      <c r="M46" s="10"/>
    </row>
    <row r="48" spans="9:15">
      <c r="O48" t="s">
        <v>36</v>
      </c>
    </row>
    <row r="49" spans="15:34">
      <c r="O49" s="8" t="s">
        <v>35</v>
      </c>
      <c r="P49" s="8" t="s">
        <v>40</v>
      </c>
      <c r="Q49" s="8" t="s">
        <v>69</v>
      </c>
      <c r="R49" s="8" t="s">
        <v>70</v>
      </c>
      <c r="S49" s="8" t="s">
        <v>37</v>
      </c>
      <c r="T49" s="8" t="s">
        <v>38</v>
      </c>
      <c r="U49" s="8" t="s">
        <v>73</v>
      </c>
      <c r="V49" s="8" t="s">
        <v>74</v>
      </c>
      <c r="W49" s="8" t="s">
        <v>75</v>
      </c>
      <c r="X49" s="8" t="s">
        <v>76</v>
      </c>
      <c r="Y49" s="8" t="s">
        <v>77</v>
      </c>
      <c r="Z49" s="8" t="s">
        <v>78</v>
      </c>
      <c r="AA49" s="8" t="s">
        <v>79</v>
      </c>
      <c r="AB49" s="8" t="s">
        <v>80</v>
      </c>
      <c r="AC49" s="8" t="s">
        <v>81</v>
      </c>
      <c r="AD49" s="8" t="s">
        <v>82</v>
      </c>
      <c r="AE49" s="8" t="s">
        <v>83</v>
      </c>
      <c r="AF49" s="8" t="s">
        <v>84</v>
      </c>
      <c r="AG49" s="8" t="s">
        <v>93</v>
      </c>
      <c r="AH49" s="8" t="s">
        <v>39</v>
      </c>
    </row>
    <row r="50" spans="15:34">
      <c r="O50">
        <v>1</v>
      </c>
      <c r="P50" t="str">
        <f>IF(測定結果!E4="","",VLOOKUP(測定結果!E4,年齢変換表,2))</f>
        <v>F</v>
      </c>
      <c r="Q50" t="str">
        <f t="shared" ref="Q50:Q89" si="0">"握得点表!"&amp;$P50&amp;"3:"&amp;$P50&amp;"13"</f>
        <v>握得点表!F3:F13</v>
      </c>
      <c r="R50" t="str">
        <f>"握得点表!"&amp;$P50&amp;"17:"&amp;$P50&amp;"27"</f>
        <v>握得点表!F17:F27</v>
      </c>
      <c r="S50" t="str">
        <f t="shared" ref="S50:S81" si="1">"上得点表!"&amp;$P50&amp;"3:"&amp;$P50&amp;"13"</f>
        <v>上得点表!F3:F13</v>
      </c>
      <c r="T50" t="str">
        <f t="shared" ref="T50:T81" si="2">"上得点表!"&amp;$P50&amp;"17:"&amp;$P50&amp;"27"</f>
        <v>上得点表!F17:F27</v>
      </c>
      <c r="U50" t="str">
        <f>"前得点表!"&amp;$P50&amp;"3:"&amp;$P50&amp;"13"</f>
        <v>前得点表!F3:F13</v>
      </c>
      <c r="V50" t="str">
        <f>"前得点表!"&amp;$P50&amp;"17:"&amp;$P50&amp;"27"</f>
        <v>前得点表!F17:F27</v>
      </c>
      <c r="W50" t="str">
        <f>"反得点表!"&amp;$P50&amp;"3:"&amp;$P50&amp;"13"</f>
        <v>反得点表!F3:F13</v>
      </c>
      <c r="X50" t="str">
        <f>"反得点表!"&amp;$P50&amp;"17:"&amp;$P50&amp;"27"</f>
        <v>反得点表!F17:F27</v>
      </c>
      <c r="Y50" t="str">
        <f t="shared" ref="Y50:Y89" si="3">"シャ得点表!"&amp;$P50&amp;"3:"&amp;$P50&amp;"13"</f>
        <v>シャ得点表!F3:F13</v>
      </c>
      <c r="Z50" t="str">
        <f t="shared" ref="Z50:Z89" si="4">"シャ得点表!"&amp;$P50&amp;"17:"&amp;$P50&amp;"27"</f>
        <v>シャ得点表!F17:F27</v>
      </c>
      <c r="AA50" t="str">
        <f>"５０得点表!"&amp;$P50&amp;"3:"&amp;$P50&amp;"13"</f>
        <v>５０得点表!F3:F13</v>
      </c>
      <c r="AB50" t="str">
        <f>"５０得点表!"&amp;$P50&amp;"17:"&amp;$P50&amp;"27"</f>
        <v>５０得点表!F17:F27</v>
      </c>
      <c r="AC50" t="str">
        <f>"立得点表!"&amp;$P50&amp;"3:"&amp;$P50&amp;"13"</f>
        <v>立得点表!F3:F13</v>
      </c>
      <c r="AD50" t="str">
        <f>"立得点表!"&amp;$P50&amp;"17:"&amp;$P50&amp;"27"</f>
        <v>立得点表!F17:F27</v>
      </c>
      <c r="AE50" t="str">
        <f>"ソフト得点表!"&amp;$P50&amp;"3:"&amp;$P50&amp;"13"</f>
        <v>ソフト得点表!F3:F13</v>
      </c>
      <c r="AF50" t="str">
        <f>"ソフト得点表!"&amp;$P50&amp;"17:"&amp;$P50&amp;"27"</f>
        <v>ソフト得点表!F17:F27</v>
      </c>
      <c r="AG50" t="str">
        <f>"総合評価!"&amp;$P50&amp;"4:"&amp;$P50&amp;"8"</f>
        <v>総合評価!F4:F8</v>
      </c>
      <c r="AH50" t="b">
        <f>OR(AND(測定結果!E4&lt;=幼少年,測定結果!M4=""),AND(測定結果!E4&gt;=壮年,測定結果!M4=""))</f>
        <v>1</v>
      </c>
    </row>
    <row r="51" spans="15:34">
      <c r="O51">
        <v>2</v>
      </c>
      <c r="P51" t="str">
        <f>IF(測定結果!E5="","",VLOOKUP(測定結果!E5,年齢変換表,2))</f>
        <v>F</v>
      </c>
      <c r="Q51" t="str">
        <f t="shared" si="0"/>
        <v>握得点表!F3:F13</v>
      </c>
      <c r="R51" t="str">
        <f t="shared" ref="R51:R89" si="5">"握得点表!"&amp;$P51&amp;"17:"&amp;$P51&amp;"27"</f>
        <v>握得点表!F17:F27</v>
      </c>
      <c r="S51" t="str">
        <f t="shared" si="1"/>
        <v>上得点表!F3:F13</v>
      </c>
      <c r="T51" t="str">
        <f t="shared" si="2"/>
        <v>上得点表!F17:F27</v>
      </c>
      <c r="U51" t="str">
        <f t="shared" ref="U51:U89" si="6">"前得点表!"&amp;$P51&amp;"3:"&amp;$P51&amp;"13"</f>
        <v>前得点表!F3:F13</v>
      </c>
      <c r="V51" t="str">
        <f t="shared" ref="V51:V89" si="7">"前得点表!"&amp;$P51&amp;"17:"&amp;$P51&amp;"27"</f>
        <v>前得点表!F17:F27</v>
      </c>
      <c r="W51" t="str">
        <f t="shared" ref="W51:W89" si="8">"反得点表!"&amp;$P51&amp;"3:"&amp;$P51&amp;"13"</f>
        <v>反得点表!F3:F13</v>
      </c>
      <c r="X51" t="str">
        <f t="shared" ref="X51:X89" si="9">"反得点表!"&amp;$P51&amp;"17:"&amp;$P51&amp;"27"</f>
        <v>反得点表!F17:F27</v>
      </c>
      <c r="Y51" t="str">
        <f t="shared" si="3"/>
        <v>シャ得点表!F3:F13</v>
      </c>
      <c r="Z51" t="str">
        <f t="shared" si="4"/>
        <v>シャ得点表!F17:F27</v>
      </c>
      <c r="AA51" t="str">
        <f t="shared" ref="AA51:AA89" si="10">"５０得点表!"&amp;$P51&amp;"3:"&amp;$P51&amp;"13"</f>
        <v>５０得点表!F3:F13</v>
      </c>
      <c r="AB51" t="str">
        <f t="shared" ref="AB51:AB89" si="11">"５０得点表!"&amp;$P51&amp;"17:"&amp;$P51&amp;"27"</f>
        <v>５０得点表!F17:F27</v>
      </c>
      <c r="AC51" t="str">
        <f t="shared" ref="AC51:AC89" si="12">"立得点表!"&amp;$P51&amp;"3:"&amp;$P51&amp;"13"</f>
        <v>立得点表!F3:F13</v>
      </c>
      <c r="AD51" t="str">
        <f t="shared" ref="AD51:AD89" si="13">"立得点表!"&amp;$P51&amp;"17:"&amp;$P51&amp;"27"</f>
        <v>立得点表!F17:F27</v>
      </c>
      <c r="AE51" t="str">
        <f t="shared" ref="AE51:AE89" si="14">"ソフト得点表!"&amp;$P51&amp;"3:"&amp;$P51&amp;"13"</f>
        <v>ソフト得点表!F3:F13</v>
      </c>
      <c r="AF51" t="str">
        <f t="shared" ref="AF51:AF89" si="15">"ソフト得点表!"&amp;$P51&amp;"17:"&amp;$P51&amp;"27"</f>
        <v>ソフト得点表!F17:F27</v>
      </c>
      <c r="AG51" t="str">
        <f t="shared" ref="AG51:AG89" si="16">"総合評価!"&amp;$P51&amp;"4:"&amp;$P51&amp;"8"</f>
        <v>総合評価!F4:F8</v>
      </c>
      <c r="AH51" t="b">
        <f>OR(AND(測定結果!E5&lt;=幼少年,測定結果!M5=""),AND(測定結果!E5&gt;=壮年,測定結果!M5=""))</f>
        <v>1</v>
      </c>
    </row>
    <row r="52" spans="15:34">
      <c r="O52">
        <v>3</v>
      </c>
      <c r="P52" t="str">
        <f>IF(測定結果!E6="","",VLOOKUP(測定結果!E6,年齢変換表,2))</f>
        <v>F</v>
      </c>
      <c r="Q52" t="str">
        <f t="shared" si="0"/>
        <v>握得点表!F3:F13</v>
      </c>
      <c r="R52" t="str">
        <f t="shared" si="5"/>
        <v>握得点表!F17:F27</v>
      </c>
      <c r="S52" t="str">
        <f t="shared" si="1"/>
        <v>上得点表!F3:F13</v>
      </c>
      <c r="T52" t="str">
        <f t="shared" si="2"/>
        <v>上得点表!F17:F27</v>
      </c>
      <c r="U52" t="str">
        <f t="shared" si="6"/>
        <v>前得点表!F3:F13</v>
      </c>
      <c r="V52" t="str">
        <f t="shared" si="7"/>
        <v>前得点表!F17:F27</v>
      </c>
      <c r="W52" t="str">
        <f t="shared" si="8"/>
        <v>反得点表!F3:F13</v>
      </c>
      <c r="X52" t="str">
        <f t="shared" si="9"/>
        <v>反得点表!F17:F27</v>
      </c>
      <c r="Y52" t="str">
        <f t="shared" si="3"/>
        <v>シャ得点表!F3:F13</v>
      </c>
      <c r="Z52" t="str">
        <f t="shared" si="4"/>
        <v>シャ得点表!F17:F27</v>
      </c>
      <c r="AA52" t="str">
        <f t="shared" si="10"/>
        <v>５０得点表!F3:F13</v>
      </c>
      <c r="AB52" t="str">
        <f t="shared" si="11"/>
        <v>５０得点表!F17:F27</v>
      </c>
      <c r="AC52" t="str">
        <f t="shared" si="12"/>
        <v>立得点表!F3:F13</v>
      </c>
      <c r="AD52" t="str">
        <f t="shared" si="13"/>
        <v>立得点表!F17:F27</v>
      </c>
      <c r="AE52" t="str">
        <f t="shared" si="14"/>
        <v>ソフト得点表!F3:F13</v>
      </c>
      <c r="AF52" t="str">
        <f t="shared" si="15"/>
        <v>ソフト得点表!F17:F27</v>
      </c>
      <c r="AG52" t="str">
        <f t="shared" si="16"/>
        <v>総合評価!F4:F8</v>
      </c>
      <c r="AH52" t="b">
        <f>OR(AND(測定結果!E6&lt;=幼少年,測定結果!M6=""),AND(測定結果!E6&gt;=壮年,測定結果!M6=""))</f>
        <v>1</v>
      </c>
    </row>
    <row r="53" spans="15:34">
      <c r="O53">
        <v>4</v>
      </c>
      <c r="P53" t="str">
        <f>IF(測定結果!E7="","",VLOOKUP(測定結果!E7,年齢変換表,2))</f>
        <v>F</v>
      </c>
      <c r="Q53" t="str">
        <f t="shared" si="0"/>
        <v>握得点表!F3:F13</v>
      </c>
      <c r="R53" t="str">
        <f t="shared" si="5"/>
        <v>握得点表!F17:F27</v>
      </c>
      <c r="S53" t="str">
        <f t="shared" si="1"/>
        <v>上得点表!F3:F13</v>
      </c>
      <c r="T53" t="str">
        <f t="shared" si="2"/>
        <v>上得点表!F17:F27</v>
      </c>
      <c r="U53" t="str">
        <f t="shared" si="6"/>
        <v>前得点表!F3:F13</v>
      </c>
      <c r="V53" t="str">
        <f t="shared" si="7"/>
        <v>前得点表!F17:F27</v>
      </c>
      <c r="W53" t="str">
        <f t="shared" si="8"/>
        <v>反得点表!F3:F13</v>
      </c>
      <c r="X53" t="str">
        <f t="shared" si="9"/>
        <v>反得点表!F17:F27</v>
      </c>
      <c r="Y53" t="str">
        <f t="shared" si="3"/>
        <v>シャ得点表!F3:F13</v>
      </c>
      <c r="Z53" t="str">
        <f t="shared" si="4"/>
        <v>シャ得点表!F17:F27</v>
      </c>
      <c r="AA53" t="str">
        <f t="shared" si="10"/>
        <v>５０得点表!F3:F13</v>
      </c>
      <c r="AB53" t="str">
        <f t="shared" si="11"/>
        <v>５０得点表!F17:F27</v>
      </c>
      <c r="AC53" t="str">
        <f t="shared" si="12"/>
        <v>立得点表!F3:F13</v>
      </c>
      <c r="AD53" t="str">
        <f t="shared" si="13"/>
        <v>立得点表!F17:F27</v>
      </c>
      <c r="AE53" t="str">
        <f t="shared" si="14"/>
        <v>ソフト得点表!F3:F13</v>
      </c>
      <c r="AF53" t="str">
        <f t="shared" si="15"/>
        <v>ソフト得点表!F17:F27</v>
      </c>
      <c r="AG53" t="str">
        <f t="shared" si="16"/>
        <v>総合評価!F4:F8</v>
      </c>
      <c r="AH53" t="b">
        <f>OR(AND(測定結果!E7&lt;=幼少年,測定結果!M7=""),AND(測定結果!E7&gt;=壮年,測定結果!M7=""))</f>
        <v>1</v>
      </c>
    </row>
    <row r="54" spans="15:34">
      <c r="O54">
        <v>5</v>
      </c>
      <c r="P54" t="str">
        <f>IF(測定結果!E8="","",VLOOKUP(測定結果!E8,年齢変換表,2))</f>
        <v>F</v>
      </c>
      <c r="Q54" t="str">
        <f t="shared" si="0"/>
        <v>握得点表!F3:F13</v>
      </c>
      <c r="R54" t="str">
        <f t="shared" si="5"/>
        <v>握得点表!F17:F27</v>
      </c>
      <c r="S54" t="str">
        <f t="shared" si="1"/>
        <v>上得点表!F3:F13</v>
      </c>
      <c r="T54" t="str">
        <f t="shared" si="2"/>
        <v>上得点表!F17:F27</v>
      </c>
      <c r="U54" t="str">
        <f t="shared" si="6"/>
        <v>前得点表!F3:F13</v>
      </c>
      <c r="V54" t="str">
        <f t="shared" si="7"/>
        <v>前得点表!F17:F27</v>
      </c>
      <c r="W54" t="str">
        <f t="shared" si="8"/>
        <v>反得点表!F3:F13</v>
      </c>
      <c r="X54" t="str">
        <f t="shared" si="9"/>
        <v>反得点表!F17:F27</v>
      </c>
      <c r="Y54" t="str">
        <f t="shared" si="3"/>
        <v>シャ得点表!F3:F13</v>
      </c>
      <c r="Z54" t="str">
        <f t="shared" si="4"/>
        <v>シャ得点表!F17:F27</v>
      </c>
      <c r="AA54" t="str">
        <f t="shared" si="10"/>
        <v>５０得点表!F3:F13</v>
      </c>
      <c r="AB54" t="str">
        <f t="shared" si="11"/>
        <v>５０得点表!F17:F27</v>
      </c>
      <c r="AC54" t="str">
        <f t="shared" si="12"/>
        <v>立得点表!F3:F13</v>
      </c>
      <c r="AD54" t="str">
        <f t="shared" si="13"/>
        <v>立得点表!F17:F27</v>
      </c>
      <c r="AE54" t="str">
        <f t="shared" si="14"/>
        <v>ソフト得点表!F3:F13</v>
      </c>
      <c r="AF54" t="str">
        <f t="shared" si="15"/>
        <v>ソフト得点表!F17:F27</v>
      </c>
      <c r="AG54" t="str">
        <f t="shared" si="16"/>
        <v>総合評価!F4:F8</v>
      </c>
      <c r="AH54" t="b">
        <f>OR(AND(測定結果!E8&lt;=幼少年,測定結果!M8=""),AND(測定結果!E8&gt;=壮年,測定結果!M8=""))</f>
        <v>1</v>
      </c>
    </row>
    <row r="55" spans="15:34">
      <c r="O55">
        <v>6</v>
      </c>
      <c r="P55" t="str">
        <f>IF(測定結果!E9="","",VLOOKUP(測定結果!E9,年齢変換表,2))</f>
        <v>F</v>
      </c>
      <c r="Q55" t="str">
        <f t="shared" si="0"/>
        <v>握得点表!F3:F13</v>
      </c>
      <c r="R55" t="str">
        <f t="shared" si="5"/>
        <v>握得点表!F17:F27</v>
      </c>
      <c r="S55" t="str">
        <f t="shared" si="1"/>
        <v>上得点表!F3:F13</v>
      </c>
      <c r="T55" t="str">
        <f t="shared" si="2"/>
        <v>上得点表!F17:F27</v>
      </c>
      <c r="U55" t="str">
        <f t="shared" si="6"/>
        <v>前得点表!F3:F13</v>
      </c>
      <c r="V55" t="str">
        <f t="shared" si="7"/>
        <v>前得点表!F17:F27</v>
      </c>
      <c r="W55" t="str">
        <f t="shared" si="8"/>
        <v>反得点表!F3:F13</v>
      </c>
      <c r="X55" t="str">
        <f t="shared" si="9"/>
        <v>反得点表!F17:F27</v>
      </c>
      <c r="Y55" t="str">
        <f t="shared" si="3"/>
        <v>シャ得点表!F3:F13</v>
      </c>
      <c r="Z55" t="str">
        <f t="shared" si="4"/>
        <v>シャ得点表!F17:F27</v>
      </c>
      <c r="AA55" t="str">
        <f t="shared" si="10"/>
        <v>５０得点表!F3:F13</v>
      </c>
      <c r="AB55" t="str">
        <f t="shared" si="11"/>
        <v>５０得点表!F17:F27</v>
      </c>
      <c r="AC55" t="str">
        <f t="shared" si="12"/>
        <v>立得点表!F3:F13</v>
      </c>
      <c r="AD55" t="str">
        <f t="shared" si="13"/>
        <v>立得点表!F17:F27</v>
      </c>
      <c r="AE55" t="str">
        <f t="shared" si="14"/>
        <v>ソフト得点表!F3:F13</v>
      </c>
      <c r="AF55" t="str">
        <f t="shared" si="15"/>
        <v>ソフト得点表!F17:F27</v>
      </c>
      <c r="AG55" t="str">
        <f t="shared" si="16"/>
        <v>総合評価!F4:F8</v>
      </c>
      <c r="AH55" t="b">
        <f>OR(AND(測定結果!E9&lt;=幼少年,測定結果!M9=""),AND(測定結果!E9&gt;=壮年,測定結果!M9=""))</f>
        <v>1</v>
      </c>
    </row>
    <row r="56" spans="15:34">
      <c r="O56">
        <v>7</v>
      </c>
      <c r="P56" t="str">
        <f>IF(測定結果!E10="","",VLOOKUP(測定結果!E10,年齢変換表,2))</f>
        <v>F</v>
      </c>
      <c r="Q56" t="str">
        <f t="shared" si="0"/>
        <v>握得点表!F3:F13</v>
      </c>
      <c r="R56" t="str">
        <f t="shared" si="5"/>
        <v>握得点表!F17:F27</v>
      </c>
      <c r="S56" t="str">
        <f t="shared" si="1"/>
        <v>上得点表!F3:F13</v>
      </c>
      <c r="T56" t="str">
        <f t="shared" si="2"/>
        <v>上得点表!F17:F27</v>
      </c>
      <c r="U56" t="str">
        <f t="shared" si="6"/>
        <v>前得点表!F3:F13</v>
      </c>
      <c r="V56" t="str">
        <f t="shared" si="7"/>
        <v>前得点表!F17:F27</v>
      </c>
      <c r="W56" t="str">
        <f t="shared" si="8"/>
        <v>反得点表!F3:F13</v>
      </c>
      <c r="X56" t="str">
        <f t="shared" si="9"/>
        <v>反得点表!F17:F27</v>
      </c>
      <c r="Y56" t="str">
        <f t="shared" si="3"/>
        <v>シャ得点表!F3:F13</v>
      </c>
      <c r="Z56" t="str">
        <f t="shared" si="4"/>
        <v>シャ得点表!F17:F27</v>
      </c>
      <c r="AA56" t="str">
        <f t="shared" si="10"/>
        <v>５０得点表!F3:F13</v>
      </c>
      <c r="AB56" t="str">
        <f t="shared" si="11"/>
        <v>５０得点表!F17:F27</v>
      </c>
      <c r="AC56" t="str">
        <f t="shared" si="12"/>
        <v>立得点表!F3:F13</v>
      </c>
      <c r="AD56" t="str">
        <f t="shared" si="13"/>
        <v>立得点表!F17:F27</v>
      </c>
      <c r="AE56" t="str">
        <f t="shared" si="14"/>
        <v>ソフト得点表!F3:F13</v>
      </c>
      <c r="AF56" t="str">
        <f t="shared" si="15"/>
        <v>ソフト得点表!F17:F27</v>
      </c>
      <c r="AG56" t="str">
        <f t="shared" si="16"/>
        <v>総合評価!F4:F8</v>
      </c>
      <c r="AH56" t="b">
        <f>OR(AND(測定結果!E10&lt;=幼少年,測定結果!M10=""),AND(測定結果!E10&gt;=壮年,測定結果!M10=""))</f>
        <v>1</v>
      </c>
    </row>
    <row r="57" spans="15:34">
      <c r="O57">
        <v>8</v>
      </c>
      <c r="P57" t="str">
        <f>IF(測定結果!E11="","",VLOOKUP(測定結果!E11,年齢変換表,2))</f>
        <v>F</v>
      </c>
      <c r="Q57" t="str">
        <f t="shared" si="0"/>
        <v>握得点表!F3:F13</v>
      </c>
      <c r="R57" t="str">
        <f t="shared" si="5"/>
        <v>握得点表!F17:F27</v>
      </c>
      <c r="S57" t="str">
        <f t="shared" si="1"/>
        <v>上得点表!F3:F13</v>
      </c>
      <c r="T57" t="str">
        <f t="shared" si="2"/>
        <v>上得点表!F17:F27</v>
      </c>
      <c r="U57" t="str">
        <f t="shared" si="6"/>
        <v>前得点表!F3:F13</v>
      </c>
      <c r="V57" t="str">
        <f t="shared" si="7"/>
        <v>前得点表!F17:F27</v>
      </c>
      <c r="W57" t="str">
        <f t="shared" si="8"/>
        <v>反得点表!F3:F13</v>
      </c>
      <c r="X57" t="str">
        <f t="shared" si="9"/>
        <v>反得点表!F17:F27</v>
      </c>
      <c r="Y57" t="str">
        <f t="shared" si="3"/>
        <v>シャ得点表!F3:F13</v>
      </c>
      <c r="Z57" t="str">
        <f t="shared" si="4"/>
        <v>シャ得点表!F17:F27</v>
      </c>
      <c r="AA57" t="str">
        <f t="shared" si="10"/>
        <v>５０得点表!F3:F13</v>
      </c>
      <c r="AB57" t="str">
        <f t="shared" si="11"/>
        <v>５０得点表!F17:F27</v>
      </c>
      <c r="AC57" t="str">
        <f t="shared" si="12"/>
        <v>立得点表!F3:F13</v>
      </c>
      <c r="AD57" t="str">
        <f t="shared" si="13"/>
        <v>立得点表!F17:F27</v>
      </c>
      <c r="AE57" t="str">
        <f t="shared" si="14"/>
        <v>ソフト得点表!F3:F13</v>
      </c>
      <c r="AF57" t="str">
        <f t="shared" si="15"/>
        <v>ソフト得点表!F17:F27</v>
      </c>
      <c r="AG57" t="str">
        <f t="shared" si="16"/>
        <v>総合評価!F4:F8</v>
      </c>
      <c r="AH57" t="b">
        <f>OR(AND(測定結果!E11&lt;=幼少年,測定結果!M11=""),AND(測定結果!E11&gt;=壮年,測定結果!M11=""))</f>
        <v>1</v>
      </c>
    </row>
    <row r="58" spans="15:34">
      <c r="O58">
        <v>9</v>
      </c>
      <c r="P58" t="str">
        <f>IF(測定結果!E12="","",VLOOKUP(測定結果!E12,年齢変換表,2))</f>
        <v>F</v>
      </c>
      <c r="Q58" t="str">
        <f t="shared" si="0"/>
        <v>握得点表!F3:F13</v>
      </c>
      <c r="R58" t="str">
        <f t="shared" si="5"/>
        <v>握得点表!F17:F27</v>
      </c>
      <c r="S58" t="str">
        <f t="shared" si="1"/>
        <v>上得点表!F3:F13</v>
      </c>
      <c r="T58" t="str">
        <f t="shared" si="2"/>
        <v>上得点表!F17:F27</v>
      </c>
      <c r="U58" t="str">
        <f t="shared" si="6"/>
        <v>前得点表!F3:F13</v>
      </c>
      <c r="V58" t="str">
        <f t="shared" si="7"/>
        <v>前得点表!F17:F27</v>
      </c>
      <c r="W58" t="str">
        <f t="shared" si="8"/>
        <v>反得点表!F3:F13</v>
      </c>
      <c r="X58" t="str">
        <f t="shared" si="9"/>
        <v>反得点表!F17:F27</v>
      </c>
      <c r="Y58" t="str">
        <f t="shared" si="3"/>
        <v>シャ得点表!F3:F13</v>
      </c>
      <c r="Z58" t="str">
        <f t="shared" si="4"/>
        <v>シャ得点表!F17:F27</v>
      </c>
      <c r="AA58" t="str">
        <f t="shared" si="10"/>
        <v>５０得点表!F3:F13</v>
      </c>
      <c r="AB58" t="str">
        <f t="shared" si="11"/>
        <v>５０得点表!F17:F27</v>
      </c>
      <c r="AC58" t="str">
        <f t="shared" si="12"/>
        <v>立得点表!F3:F13</v>
      </c>
      <c r="AD58" t="str">
        <f t="shared" si="13"/>
        <v>立得点表!F17:F27</v>
      </c>
      <c r="AE58" t="str">
        <f t="shared" si="14"/>
        <v>ソフト得点表!F3:F13</v>
      </c>
      <c r="AF58" t="str">
        <f t="shared" si="15"/>
        <v>ソフト得点表!F17:F27</v>
      </c>
      <c r="AG58" t="str">
        <f t="shared" si="16"/>
        <v>総合評価!F4:F8</v>
      </c>
      <c r="AH58" t="b">
        <f>OR(AND(測定結果!E12&lt;=幼少年,測定結果!M12=""),AND(測定結果!E12&gt;=壮年,測定結果!M12=""))</f>
        <v>1</v>
      </c>
    </row>
    <row r="59" spans="15:34">
      <c r="O59">
        <v>10</v>
      </c>
      <c r="P59" t="str">
        <f>IF(測定結果!E13="","",VLOOKUP(測定結果!E13,年齢変換表,2))</f>
        <v>F</v>
      </c>
      <c r="Q59" t="str">
        <f t="shared" si="0"/>
        <v>握得点表!F3:F13</v>
      </c>
      <c r="R59" t="str">
        <f t="shared" si="5"/>
        <v>握得点表!F17:F27</v>
      </c>
      <c r="S59" t="str">
        <f t="shared" si="1"/>
        <v>上得点表!F3:F13</v>
      </c>
      <c r="T59" t="str">
        <f t="shared" si="2"/>
        <v>上得点表!F17:F27</v>
      </c>
      <c r="U59" t="str">
        <f t="shared" si="6"/>
        <v>前得点表!F3:F13</v>
      </c>
      <c r="V59" t="str">
        <f t="shared" si="7"/>
        <v>前得点表!F17:F27</v>
      </c>
      <c r="W59" t="str">
        <f t="shared" si="8"/>
        <v>反得点表!F3:F13</v>
      </c>
      <c r="X59" t="str">
        <f t="shared" si="9"/>
        <v>反得点表!F17:F27</v>
      </c>
      <c r="Y59" t="str">
        <f t="shared" si="3"/>
        <v>シャ得点表!F3:F13</v>
      </c>
      <c r="Z59" t="str">
        <f t="shared" si="4"/>
        <v>シャ得点表!F17:F27</v>
      </c>
      <c r="AA59" t="str">
        <f t="shared" si="10"/>
        <v>５０得点表!F3:F13</v>
      </c>
      <c r="AB59" t="str">
        <f t="shared" si="11"/>
        <v>５０得点表!F17:F27</v>
      </c>
      <c r="AC59" t="str">
        <f t="shared" si="12"/>
        <v>立得点表!F3:F13</v>
      </c>
      <c r="AD59" t="str">
        <f t="shared" si="13"/>
        <v>立得点表!F17:F27</v>
      </c>
      <c r="AE59" t="str">
        <f t="shared" si="14"/>
        <v>ソフト得点表!F3:F13</v>
      </c>
      <c r="AF59" t="str">
        <f t="shared" si="15"/>
        <v>ソフト得点表!F17:F27</v>
      </c>
      <c r="AG59" t="str">
        <f t="shared" si="16"/>
        <v>総合評価!F4:F8</v>
      </c>
      <c r="AH59" t="b">
        <f>OR(AND(測定結果!E13&lt;=幼少年,測定結果!M13=""),AND(測定結果!E13&gt;=壮年,測定結果!M13=""))</f>
        <v>1</v>
      </c>
    </row>
    <row r="60" spans="15:34">
      <c r="O60">
        <v>11</v>
      </c>
      <c r="P60" t="str">
        <f>IF(測定結果!E14="","",VLOOKUP(測定結果!E14,年齢変換表,2))</f>
        <v>F</v>
      </c>
      <c r="Q60" t="str">
        <f t="shared" si="0"/>
        <v>握得点表!F3:F13</v>
      </c>
      <c r="R60" t="str">
        <f t="shared" si="5"/>
        <v>握得点表!F17:F27</v>
      </c>
      <c r="S60" t="str">
        <f t="shared" si="1"/>
        <v>上得点表!F3:F13</v>
      </c>
      <c r="T60" t="str">
        <f t="shared" si="2"/>
        <v>上得点表!F17:F27</v>
      </c>
      <c r="U60" t="str">
        <f t="shared" si="6"/>
        <v>前得点表!F3:F13</v>
      </c>
      <c r="V60" t="str">
        <f t="shared" si="7"/>
        <v>前得点表!F17:F27</v>
      </c>
      <c r="W60" t="str">
        <f t="shared" si="8"/>
        <v>反得点表!F3:F13</v>
      </c>
      <c r="X60" t="str">
        <f t="shared" si="9"/>
        <v>反得点表!F17:F27</v>
      </c>
      <c r="Y60" t="str">
        <f t="shared" si="3"/>
        <v>シャ得点表!F3:F13</v>
      </c>
      <c r="Z60" t="str">
        <f t="shared" si="4"/>
        <v>シャ得点表!F17:F27</v>
      </c>
      <c r="AA60" t="str">
        <f t="shared" si="10"/>
        <v>５０得点表!F3:F13</v>
      </c>
      <c r="AB60" t="str">
        <f t="shared" si="11"/>
        <v>５０得点表!F17:F27</v>
      </c>
      <c r="AC60" t="str">
        <f t="shared" si="12"/>
        <v>立得点表!F3:F13</v>
      </c>
      <c r="AD60" t="str">
        <f t="shared" si="13"/>
        <v>立得点表!F17:F27</v>
      </c>
      <c r="AE60" t="str">
        <f t="shared" si="14"/>
        <v>ソフト得点表!F3:F13</v>
      </c>
      <c r="AF60" t="str">
        <f t="shared" si="15"/>
        <v>ソフト得点表!F17:F27</v>
      </c>
      <c r="AG60" t="str">
        <f t="shared" si="16"/>
        <v>総合評価!F4:F8</v>
      </c>
      <c r="AH60" t="b">
        <f>OR(AND(測定結果!E14&lt;=幼少年,測定結果!M14=""),AND(測定結果!E14&gt;=壮年,測定結果!M14=""))</f>
        <v>1</v>
      </c>
    </row>
    <row r="61" spans="15:34">
      <c r="O61">
        <v>12</v>
      </c>
      <c r="P61" t="str">
        <f>IF(測定結果!E15="","",VLOOKUP(測定結果!E15,年齢変換表,2))</f>
        <v>F</v>
      </c>
      <c r="Q61" t="str">
        <f t="shared" si="0"/>
        <v>握得点表!F3:F13</v>
      </c>
      <c r="R61" t="str">
        <f t="shared" si="5"/>
        <v>握得点表!F17:F27</v>
      </c>
      <c r="S61" t="str">
        <f t="shared" si="1"/>
        <v>上得点表!F3:F13</v>
      </c>
      <c r="T61" t="str">
        <f t="shared" si="2"/>
        <v>上得点表!F17:F27</v>
      </c>
      <c r="U61" t="str">
        <f t="shared" si="6"/>
        <v>前得点表!F3:F13</v>
      </c>
      <c r="V61" t="str">
        <f t="shared" si="7"/>
        <v>前得点表!F17:F27</v>
      </c>
      <c r="W61" t="str">
        <f t="shared" si="8"/>
        <v>反得点表!F3:F13</v>
      </c>
      <c r="X61" t="str">
        <f t="shared" si="9"/>
        <v>反得点表!F17:F27</v>
      </c>
      <c r="Y61" t="str">
        <f t="shared" si="3"/>
        <v>シャ得点表!F3:F13</v>
      </c>
      <c r="Z61" t="str">
        <f t="shared" si="4"/>
        <v>シャ得点表!F17:F27</v>
      </c>
      <c r="AA61" t="str">
        <f t="shared" si="10"/>
        <v>５０得点表!F3:F13</v>
      </c>
      <c r="AB61" t="str">
        <f t="shared" si="11"/>
        <v>５０得点表!F17:F27</v>
      </c>
      <c r="AC61" t="str">
        <f t="shared" si="12"/>
        <v>立得点表!F3:F13</v>
      </c>
      <c r="AD61" t="str">
        <f t="shared" si="13"/>
        <v>立得点表!F17:F27</v>
      </c>
      <c r="AE61" t="str">
        <f t="shared" si="14"/>
        <v>ソフト得点表!F3:F13</v>
      </c>
      <c r="AF61" t="str">
        <f t="shared" si="15"/>
        <v>ソフト得点表!F17:F27</v>
      </c>
      <c r="AG61" t="str">
        <f t="shared" si="16"/>
        <v>総合評価!F4:F8</v>
      </c>
      <c r="AH61" t="b">
        <f>OR(AND(測定結果!E15&lt;=幼少年,測定結果!M15=""),AND(測定結果!E15&gt;=壮年,測定結果!M15=""))</f>
        <v>1</v>
      </c>
    </row>
    <row r="62" spans="15:34">
      <c r="O62">
        <v>13</v>
      </c>
      <c r="P62" t="str">
        <f>IF(測定結果!E16="","",VLOOKUP(測定結果!E16,年齢変換表,2))</f>
        <v>F</v>
      </c>
      <c r="Q62" t="str">
        <f t="shared" si="0"/>
        <v>握得点表!F3:F13</v>
      </c>
      <c r="R62" t="str">
        <f t="shared" si="5"/>
        <v>握得点表!F17:F27</v>
      </c>
      <c r="S62" t="str">
        <f t="shared" si="1"/>
        <v>上得点表!F3:F13</v>
      </c>
      <c r="T62" t="str">
        <f t="shared" si="2"/>
        <v>上得点表!F17:F27</v>
      </c>
      <c r="U62" t="str">
        <f t="shared" si="6"/>
        <v>前得点表!F3:F13</v>
      </c>
      <c r="V62" t="str">
        <f t="shared" si="7"/>
        <v>前得点表!F17:F27</v>
      </c>
      <c r="W62" t="str">
        <f t="shared" si="8"/>
        <v>反得点表!F3:F13</v>
      </c>
      <c r="X62" t="str">
        <f t="shared" si="9"/>
        <v>反得点表!F17:F27</v>
      </c>
      <c r="Y62" t="str">
        <f t="shared" si="3"/>
        <v>シャ得点表!F3:F13</v>
      </c>
      <c r="Z62" t="str">
        <f t="shared" si="4"/>
        <v>シャ得点表!F17:F27</v>
      </c>
      <c r="AA62" t="str">
        <f t="shared" si="10"/>
        <v>５０得点表!F3:F13</v>
      </c>
      <c r="AB62" t="str">
        <f t="shared" si="11"/>
        <v>５０得点表!F17:F27</v>
      </c>
      <c r="AC62" t="str">
        <f t="shared" si="12"/>
        <v>立得点表!F3:F13</v>
      </c>
      <c r="AD62" t="str">
        <f t="shared" si="13"/>
        <v>立得点表!F17:F27</v>
      </c>
      <c r="AE62" t="str">
        <f t="shared" si="14"/>
        <v>ソフト得点表!F3:F13</v>
      </c>
      <c r="AF62" t="str">
        <f t="shared" si="15"/>
        <v>ソフト得点表!F17:F27</v>
      </c>
      <c r="AG62" t="str">
        <f t="shared" si="16"/>
        <v>総合評価!F4:F8</v>
      </c>
      <c r="AH62" t="b">
        <f>OR(AND(測定結果!E16&lt;=幼少年,測定結果!M16=""),AND(測定結果!E16&gt;=壮年,測定結果!M16=""))</f>
        <v>1</v>
      </c>
    </row>
    <row r="63" spans="15:34">
      <c r="O63">
        <v>14</v>
      </c>
      <c r="P63" t="str">
        <f>IF(測定結果!E17="","",VLOOKUP(測定結果!E17,年齢変換表,2))</f>
        <v>F</v>
      </c>
      <c r="Q63" t="str">
        <f t="shared" si="0"/>
        <v>握得点表!F3:F13</v>
      </c>
      <c r="R63" t="str">
        <f t="shared" si="5"/>
        <v>握得点表!F17:F27</v>
      </c>
      <c r="S63" t="str">
        <f t="shared" si="1"/>
        <v>上得点表!F3:F13</v>
      </c>
      <c r="T63" t="str">
        <f t="shared" si="2"/>
        <v>上得点表!F17:F27</v>
      </c>
      <c r="U63" t="str">
        <f t="shared" si="6"/>
        <v>前得点表!F3:F13</v>
      </c>
      <c r="V63" t="str">
        <f t="shared" si="7"/>
        <v>前得点表!F17:F27</v>
      </c>
      <c r="W63" t="str">
        <f t="shared" si="8"/>
        <v>反得点表!F3:F13</v>
      </c>
      <c r="X63" t="str">
        <f t="shared" si="9"/>
        <v>反得点表!F17:F27</v>
      </c>
      <c r="Y63" t="str">
        <f t="shared" si="3"/>
        <v>シャ得点表!F3:F13</v>
      </c>
      <c r="Z63" t="str">
        <f t="shared" si="4"/>
        <v>シャ得点表!F17:F27</v>
      </c>
      <c r="AA63" t="str">
        <f t="shared" si="10"/>
        <v>５０得点表!F3:F13</v>
      </c>
      <c r="AB63" t="str">
        <f t="shared" si="11"/>
        <v>５０得点表!F17:F27</v>
      </c>
      <c r="AC63" t="str">
        <f t="shared" si="12"/>
        <v>立得点表!F3:F13</v>
      </c>
      <c r="AD63" t="str">
        <f t="shared" si="13"/>
        <v>立得点表!F17:F27</v>
      </c>
      <c r="AE63" t="str">
        <f t="shared" si="14"/>
        <v>ソフト得点表!F3:F13</v>
      </c>
      <c r="AF63" t="str">
        <f t="shared" si="15"/>
        <v>ソフト得点表!F17:F27</v>
      </c>
      <c r="AG63" t="str">
        <f t="shared" si="16"/>
        <v>総合評価!F4:F8</v>
      </c>
      <c r="AH63" t="b">
        <f>OR(AND(測定結果!E17&lt;=幼少年,測定結果!M17=""),AND(測定結果!E17&gt;=壮年,測定結果!M17=""))</f>
        <v>1</v>
      </c>
    </row>
    <row r="64" spans="15:34">
      <c r="O64">
        <v>15</v>
      </c>
      <c r="P64" t="str">
        <f>IF(測定結果!E18="","",VLOOKUP(測定結果!E18,年齢変換表,2))</f>
        <v>F</v>
      </c>
      <c r="Q64" t="str">
        <f t="shared" si="0"/>
        <v>握得点表!F3:F13</v>
      </c>
      <c r="R64" t="str">
        <f t="shared" si="5"/>
        <v>握得点表!F17:F27</v>
      </c>
      <c r="S64" t="str">
        <f t="shared" si="1"/>
        <v>上得点表!F3:F13</v>
      </c>
      <c r="T64" t="str">
        <f t="shared" si="2"/>
        <v>上得点表!F17:F27</v>
      </c>
      <c r="U64" t="str">
        <f t="shared" si="6"/>
        <v>前得点表!F3:F13</v>
      </c>
      <c r="V64" t="str">
        <f t="shared" si="7"/>
        <v>前得点表!F17:F27</v>
      </c>
      <c r="W64" t="str">
        <f t="shared" si="8"/>
        <v>反得点表!F3:F13</v>
      </c>
      <c r="X64" t="str">
        <f t="shared" si="9"/>
        <v>反得点表!F17:F27</v>
      </c>
      <c r="Y64" t="str">
        <f t="shared" si="3"/>
        <v>シャ得点表!F3:F13</v>
      </c>
      <c r="Z64" t="str">
        <f t="shared" si="4"/>
        <v>シャ得点表!F17:F27</v>
      </c>
      <c r="AA64" t="str">
        <f t="shared" si="10"/>
        <v>５０得点表!F3:F13</v>
      </c>
      <c r="AB64" t="str">
        <f t="shared" si="11"/>
        <v>５０得点表!F17:F27</v>
      </c>
      <c r="AC64" t="str">
        <f t="shared" si="12"/>
        <v>立得点表!F3:F13</v>
      </c>
      <c r="AD64" t="str">
        <f t="shared" si="13"/>
        <v>立得点表!F17:F27</v>
      </c>
      <c r="AE64" t="str">
        <f t="shared" si="14"/>
        <v>ソフト得点表!F3:F13</v>
      </c>
      <c r="AF64" t="str">
        <f t="shared" si="15"/>
        <v>ソフト得点表!F17:F27</v>
      </c>
      <c r="AG64" t="str">
        <f t="shared" si="16"/>
        <v>総合評価!F4:F8</v>
      </c>
      <c r="AH64" t="b">
        <f>OR(AND(測定結果!E18&lt;=幼少年,測定結果!M18=""),AND(測定結果!E18&gt;=壮年,測定結果!M18=""))</f>
        <v>1</v>
      </c>
    </row>
    <row r="65" spans="15:34">
      <c r="O65">
        <v>16</v>
      </c>
      <c r="P65" t="str">
        <f>IF(測定結果!E19="","",VLOOKUP(測定結果!E19,年齢変換表,2))</f>
        <v>F</v>
      </c>
      <c r="Q65" t="str">
        <f t="shared" si="0"/>
        <v>握得点表!F3:F13</v>
      </c>
      <c r="R65" t="str">
        <f t="shared" si="5"/>
        <v>握得点表!F17:F27</v>
      </c>
      <c r="S65" t="str">
        <f t="shared" si="1"/>
        <v>上得点表!F3:F13</v>
      </c>
      <c r="T65" t="str">
        <f t="shared" si="2"/>
        <v>上得点表!F17:F27</v>
      </c>
      <c r="U65" t="str">
        <f t="shared" si="6"/>
        <v>前得点表!F3:F13</v>
      </c>
      <c r="V65" t="str">
        <f t="shared" si="7"/>
        <v>前得点表!F17:F27</v>
      </c>
      <c r="W65" t="str">
        <f t="shared" si="8"/>
        <v>反得点表!F3:F13</v>
      </c>
      <c r="X65" t="str">
        <f t="shared" si="9"/>
        <v>反得点表!F17:F27</v>
      </c>
      <c r="Y65" t="str">
        <f t="shared" si="3"/>
        <v>シャ得点表!F3:F13</v>
      </c>
      <c r="Z65" t="str">
        <f t="shared" si="4"/>
        <v>シャ得点表!F17:F27</v>
      </c>
      <c r="AA65" t="str">
        <f t="shared" si="10"/>
        <v>５０得点表!F3:F13</v>
      </c>
      <c r="AB65" t="str">
        <f t="shared" si="11"/>
        <v>５０得点表!F17:F27</v>
      </c>
      <c r="AC65" t="str">
        <f t="shared" si="12"/>
        <v>立得点表!F3:F13</v>
      </c>
      <c r="AD65" t="str">
        <f t="shared" si="13"/>
        <v>立得点表!F17:F27</v>
      </c>
      <c r="AE65" t="str">
        <f t="shared" si="14"/>
        <v>ソフト得点表!F3:F13</v>
      </c>
      <c r="AF65" t="str">
        <f t="shared" si="15"/>
        <v>ソフト得点表!F17:F27</v>
      </c>
      <c r="AG65" t="str">
        <f t="shared" si="16"/>
        <v>総合評価!F4:F8</v>
      </c>
      <c r="AH65" t="b">
        <f>OR(AND(測定結果!E19&lt;=幼少年,測定結果!M19=""),AND(測定結果!E19&gt;=壮年,測定結果!M19=""))</f>
        <v>1</v>
      </c>
    </row>
    <row r="66" spans="15:34">
      <c r="O66">
        <v>17</v>
      </c>
      <c r="P66" t="str">
        <f>IF(測定結果!E20="","",VLOOKUP(測定結果!E20,年齢変換表,2))</f>
        <v>F</v>
      </c>
      <c r="Q66" t="str">
        <f t="shared" si="0"/>
        <v>握得点表!F3:F13</v>
      </c>
      <c r="R66" t="str">
        <f t="shared" si="5"/>
        <v>握得点表!F17:F27</v>
      </c>
      <c r="S66" t="str">
        <f t="shared" si="1"/>
        <v>上得点表!F3:F13</v>
      </c>
      <c r="T66" t="str">
        <f t="shared" si="2"/>
        <v>上得点表!F17:F27</v>
      </c>
      <c r="U66" t="str">
        <f t="shared" si="6"/>
        <v>前得点表!F3:F13</v>
      </c>
      <c r="V66" t="str">
        <f t="shared" si="7"/>
        <v>前得点表!F17:F27</v>
      </c>
      <c r="W66" t="str">
        <f t="shared" si="8"/>
        <v>反得点表!F3:F13</v>
      </c>
      <c r="X66" t="str">
        <f t="shared" si="9"/>
        <v>反得点表!F17:F27</v>
      </c>
      <c r="Y66" t="str">
        <f t="shared" si="3"/>
        <v>シャ得点表!F3:F13</v>
      </c>
      <c r="Z66" t="str">
        <f t="shared" si="4"/>
        <v>シャ得点表!F17:F27</v>
      </c>
      <c r="AA66" t="str">
        <f t="shared" si="10"/>
        <v>５０得点表!F3:F13</v>
      </c>
      <c r="AB66" t="str">
        <f t="shared" si="11"/>
        <v>５０得点表!F17:F27</v>
      </c>
      <c r="AC66" t="str">
        <f t="shared" si="12"/>
        <v>立得点表!F3:F13</v>
      </c>
      <c r="AD66" t="str">
        <f t="shared" si="13"/>
        <v>立得点表!F17:F27</v>
      </c>
      <c r="AE66" t="str">
        <f t="shared" si="14"/>
        <v>ソフト得点表!F3:F13</v>
      </c>
      <c r="AF66" t="str">
        <f t="shared" si="15"/>
        <v>ソフト得点表!F17:F27</v>
      </c>
      <c r="AG66" t="str">
        <f t="shared" si="16"/>
        <v>総合評価!F4:F8</v>
      </c>
      <c r="AH66" t="b">
        <f>OR(AND(測定結果!E20&lt;=幼少年,測定結果!M20=""),AND(測定結果!E20&gt;=壮年,測定結果!M20=""))</f>
        <v>1</v>
      </c>
    </row>
    <row r="67" spans="15:34">
      <c r="O67">
        <v>18</v>
      </c>
      <c r="P67" t="str">
        <f>IF(測定結果!E21="","",VLOOKUP(測定結果!E21,年齢変換表,2))</f>
        <v>F</v>
      </c>
      <c r="Q67" t="str">
        <f t="shared" si="0"/>
        <v>握得点表!F3:F13</v>
      </c>
      <c r="R67" t="str">
        <f t="shared" si="5"/>
        <v>握得点表!F17:F27</v>
      </c>
      <c r="S67" t="str">
        <f t="shared" si="1"/>
        <v>上得点表!F3:F13</v>
      </c>
      <c r="T67" t="str">
        <f t="shared" si="2"/>
        <v>上得点表!F17:F27</v>
      </c>
      <c r="U67" t="str">
        <f t="shared" si="6"/>
        <v>前得点表!F3:F13</v>
      </c>
      <c r="V67" t="str">
        <f t="shared" si="7"/>
        <v>前得点表!F17:F27</v>
      </c>
      <c r="W67" t="str">
        <f t="shared" si="8"/>
        <v>反得点表!F3:F13</v>
      </c>
      <c r="X67" t="str">
        <f t="shared" si="9"/>
        <v>反得点表!F17:F27</v>
      </c>
      <c r="Y67" t="str">
        <f t="shared" si="3"/>
        <v>シャ得点表!F3:F13</v>
      </c>
      <c r="Z67" t="str">
        <f t="shared" si="4"/>
        <v>シャ得点表!F17:F27</v>
      </c>
      <c r="AA67" t="str">
        <f t="shared" si="10"/>
        <v>５０得点表!F3:F13</v>
      </c>
      <c r="AB67" t="str">
        <f t="shared" si="11"/>
        <v>５０得点表!F17:F27</v>
      </c>
      <c r="AC67" t="str">
        <f t="shared" si="12"/>
        <v>立得点表!F3:F13</v>
      </c>
      <c r="AD67" t="str">
        <f t="shared" si="13"/>
        <v>立得点表!F17:F27</v>
      </c>
      <c r="AE67" t="str">
        <f t="shared" si="14"/>
        <v>ソフト得点表!F3:F13</v>
      </c>
      <c r="AF67" t="str">
        <f t="shared" si="15"/>
        <v>ソフト得点表!F17:F27</v>
      </c>
      <c r="AG67" t="str">
        <f t="shared" si="16"/>
        <v>総合評価!F4:F8</v>
      </c>
      <c r="AH67" t="b">
        <f>OR(AND(測定結果!E21&lt;=幼少年,測定結果!M21=""),AND(測定結果!E21&gt;=壮年,測定結果!M21=""))</f>
        <v>1</v>
      </c>
    </row>
    <row r="68" spans="15:34">
      <c r="O68">
        <v>19</v>
      </c>
      <c r="P68" t="str">
        <f>IF(測定結果!E22="","",VLOOKUP(測定結果!E22,年齢変換表,2))</f>
        <v>F</v>
      </c>
      <c r="Q68" t="str">
        <f t="shared" si="0"/>
        <v>握得点表!F3:F13</v>
      </c>
      <c r="R68" t="str">
        <f t="shared" si="5"/>
        <v>握得点表!F17:F27</v>
      </c>
      <c r="S68" t="str">
        <f t="shared" si="1"/>
        <v>上得点表!F3:F13</v>
      </c>
      <c r="T68" t="str">
        <f t="shared" si="2"/>
        <v>上得点表!F17:F27</v>
      </c>
      <c r="U68" t="str">
        <f t="shared" si="6"/>
        <v>前得点表!F3:F13</v>
      </c>
      <c r="V68" t="str">
        <f t="shared" si="7"/>
        <v>前得点表!F17:F27</v>
      </c>
      <c r="W68" t="str">
        <f t="shared" si="8"/>
        <v>反得点表!F3:F13</v>
      </c>
      <c r="X68" t="str">
        <f t="shared" si="9"/>
        <v>反得点表!F17:F27</v>
      </c>
      <c r="Y68" t="str">
        <f t="shared" si="3"/>
        <v>シャ得点表!F3:F13</v>
      </c>
      <c r="Z68" t="str">
        <f t="shared" si="4"/>
        <v>シャ得点表!F17:F27</v>
      </c>
      <c r="AA68" t="str">
        <f t="shared" si="10"/>
        <v>５０得点表!F3:F13</v>
      </c>
      <c r="AB68" t="str">
        <f t="shared" si="11"/>
        <v>５０得点表!F17:F27</v>
      </c>
      <c r="AC68" t="str">
        <f t="shared" si="12"/>
        <v>立得点表!F3:F13</v>
      </c>
      <c r="AD68" t="str">
        <f t="shared" si="13"/>
        <v>立得点表!F17:F27</v>
      </c>
      <c r="AE68" t="str">
        <f t="shared" si="14"/>
        <v>ソフト得点表!F3:F13</v>
      </c>
      <c r="AF68" t="str">
        <f t="shared" si="15"/>
        <v>ソフト得点表!F17:F27</v>
      </c>
      <c r="AG68" t="str">
        <f t="shared" si="16"/>
        <v>総合評価!F4:F8</v>
      </c>
      <c r="AH68" t="b">
        <f>OR(AND(測定結果!E22&lt;=幼少年,測定結果!M22=""),AND(測定結果!E22&gt;=壮年,測定結果!M22=""))</f>
        <v>1</v>
      </c>
    </row>
    <row r="69" spans="15:34">
      <c r="O69">
        <v>20</v>
      </c>
      <c r="P69" t="str">
        <f>IF(測定結果!E23="","",VLOOKUP(測定結果!E23,年齢変換表,2))</f>
        <v>F</v>
      </c>
      <c r="Q69" t="str">
        <f t="shared" si="0"/>
        <v>握得点表!F3:F13</v>
      </c>
      <c r="R69" t="str">
        <f t="shared" si="5"/>
        <v>握得点表!F17:F27</v>
      </c>
      <c r="S69" t="str">
        <f t="shared" si="1"/>
        <v>上得点表!F3:F13</v>
      </c>
      <c r="T69" t="str">
        <f t="shared" si="2"/>
        <v>上得点表!F17:F27</v>
      </c>
      <c r="U69" t="str">
        <f t="shared" si="6"/>
        <v>前得点表!F3:F13</v>
      </c>
      <c r="V69" t="str">
        <f t="shared" si="7"/>
        <v>前得点表!F17:F27</v>
      </c>
      <c r="W69" t="str">
        <f t="shared" si="8"/>
        <v>反得点表!F3:F13</v>
      </c>
      <c r="X69" t="str">
        <f t="shared" si="9"/>
        <v>反得点表!F17:F27</v>
      </c>
      <c r="Y69" t="str">
        <f t="shared" si="3"/>
        <v>シャ得点表!F3:F13</v>
      </c>
      <c r="Z69" t="str">
        <f t="shared" si="4"/>
        <v>シャ得点表!F17:F27</v>
      </c>
      <c r="AA69" t="str">
        <f t="shared" si="10"/>
        <v>５０得点表!F3:F13</v>
      </c>
      <c r="AB69" t="str">
        <f t="shared" si="11"/>
        <v>５０得点表!F17:F27</v>
      </c>
      <c r="AC69" t="str">
        <f t="shared" si="12"/>
        <v>立得点表!F3:F13</v>
      </c>
      <c r="AD69" t="str">
        <f t="shared" si="13"/>
        <v>立得点表!F17:F27</v>
      </c>
      <c r="AE69" t="str">
        <f t="shared" si="14"/>
        <v>ソフト得点表!F3:F13</v>
      </c>
      <c r="AF69" t="str">
        <f t="shared" si="15"/>
        <v>ソフト得点表!F17:F27</v>
      </c>
      <c r="AG69" t="str">
        <f t="shared" si="16"/>
        <v>総合評価!F4:F8</v>
      </c>
      <c r="AH69" t="b">
        <f>OR(AND(測定結果!E23&lt;=幼少年,測定結果!M23=""),AND(測定結果!E23&gt;=壮年,測定結果!M23=""))</f>
        <v>1</v>
      </c>
    </row>
    <row r="70" spans="15:34">
      <c r="O70">
        <v>21</v>
      </c>
      <c r="P70" t="str">
        <f>IF(測定結果!E24="","",VLOOKUP(測定結果!E24,年齢変換表,2))</f>
        <v>F</v>
      </c>
      <c r="Q70" t="str">
        <f t="shared" si="0"/>
        <v>握得点表!F3:F13</v>
      </c>
      <c r="R70" t="str">
        <f t="shared" si="5"/>
        <v>握得点表!F17:F27</v>
      </c>
      <c r="S70" t="str">
        <f t="shared" si="1"/>
        <v>上得点表!F3:F13</v>
      </c>
      <c r="T70" t="str">
        <f t="shared" si="2"/>
        <v>上得点表!F17:F27</v>
      </c>
      <c r="U70" t="str">
        <f t="shared" si="6"/>
        <v>前得点表!F3:F13</v>
      </c>
      <c r="V70" t="str">
        <f t="shared" si="7"/>
        <v>前得点表!F17:F27</v>
      </c>
      <c r="W70" t="str">
        <f t="shared" si="8"/>
        <v>反得点表!F3:F13</v>
      </c>
      <c r="X70" t="str">
        <f t="shared" si="9"/>
        <v>反得点表!F17:F27</v>
      </c>
      <c r="Y70" t="str">
        <f t="shared" si="3"/>
        <v>シャ得点表!F3:F13</v>
      </c>
      <c r="Z70" t="str">
        <f t="shared" si="4"/>
        <v>シャ得点表!F17:F27</v>
      </c>
      <c r="AA70" t="str">
        <f t="shared" si="10"/>
        <v>５０得点表!F3:F13</v>
      </c>
      <c r="AB70" t="str">
        <f t="shared" si="11"/>
        <v>５０得点表!F17:F27</v>
      </c>
      <c r="AC70" t="str">
        <f t="shared" si="12"/>
        <v>立得点表!F3:F13</v>
      </c>
      <c r="AD70" t="str">
        <f t="shared" si="13"/>
        <v>立得点表!F17:F27</v>
      </c>
      <c r="AE70" t="str">
        <f t="shared" si="14"/>
        <v>ソフト得点表!F3:F13</v>
      </c>
      <c r="AF70" t="str">
        <f t="shared" si="15"/>
        <v>ソフト得点表!F17:F27</v>
      </c>
      <c r="AG70" t="str">
        <f t="shared" si="16"/>
        <v>総合評価!F4:F8</v>
      </c>
      <c r="AH70" t="b">
        <f>OR(AND(測定結果!E24&lt;=幼少年,測定結果!M24=""),AND(測定結果!E24&gt;=壮年,測定結果!M24=""))</f>
        <v>1</v>
      </c>
    </row>
    <row r="71" spans="15:34">
      <c r="O71">
        <v>22</v>
      </c>
      <c r="P71" t="str">
        <f>IF(測定結果!E25="","",VLOOKUP(測定結果!E25,年齢変換表,2))</f>
        <v>F</v>
      </c>
      <c r="Q71" t="str">
        <f t="shared" si="0"/>
        <v>握得点表!F3:F13</v>
      </c>
      <c r="R71" t="str">
        <f t="shared" si="5"/>
        <v>握得点表!F17:F27</v>
      </c>
      <c r="S71" t="str">
        <f t="shared" si="1"/>
        <v>上得点表!F3:F13</v>
      </c>
      <c r="T71" t="str">
        <f t="shared" si="2"/>
        <v>上得点表!F17:F27</v>
      </c>
      <c r="U71" t="str">
        <f t="shared" si="6"/>
        <v>前得点表!F3:F13</v>
      </c>
      <c r="V71" t="str">
        <f t="shared" si="7"/>
        <v>前得点表!F17:F27</v>
      </c>
      <c r="W71" t="str">
        <f t="shared" si="8"/>
        <v>反得点表!F3:F13</v>
      </c>
      <c r="X71" t="str">
        <f t="shared" si="9"/>
        <v>反得点表!F17:F27</v>
      </c>
      <c r="Y71" t="str">
        <f t="shared" si="3"/>
        <v>シャ得点表!F3:F13</v>
      </c>
      <c r="Z71" t="str">
        <f t="shared" si="4"/>
        <v>シャ得点表!F17:F27</v>
      </c>
      <c r="AA71" t="str">
        <f t="shared" si="10"/>
        <v>５０得点表!F3:F13</v>
      </c>
      <c r="AB71" t="str">
        <f t="shared" si="11"/>
        <v>５０得点表!F17:F27</v>
      </c>
      <c r="AC71" t="str">
        <f t="shared" si="12"/>
        <v>立得点表!F3:F13</v>
      </c>
      <c r="AD71" t="str">
        <f t="shared" si="13"/>
        <v>立得点表!F17:F27</v>
      </c>
      <c r="AE71" t="str">
        <f t="shared" si="14"/>
        <v>ソフト得点表!F3:F13</v>
      </c>
      <c r="AF71" t="str">
        <f t="shared" si="15"/>
        <v>ソフト得点表!F17:F27</v>
      </c>
      <c r="AG71" t="str">
        <f t="shared" si="16"/>
        <v>総合評価!F4:F8</v>
      </c>
      <c r="AH71" t="b">
        <f>OR(AND(測定結果!E25&lt;=幼少年,測定結果!M25=""),AND(測定結果!E25&gt;=壮年,測定結果!M25=""))</f>
        <v>1</v>
      </c>
    </row>
    <row r="72" spans="15:34">
      <c r="O72">
        <v>23</v>
      </c>
      <c r="P72" t="str">
        <f>IF(測定結果!E26="","",VLOOKUP(測定結果!E26,年齢変換表,2))</f>
        <v>F</v>
      </c>
      <c r="Q72" t="str">
        <f t="shared" si="0"/>
        <v>握得点表!F3:F13</v>
      </c>
      <c r="R72" t="str">
        <f t="shared" si="5"/>
        <v>握得点表!F17:F27</v>
      </c>
      <c r="S72" t="str">
        <f t="shared" si="1"/>
        <v>上得点表!F3:F13</v>
      </c>
      <c r="T72" t="str">
        <f t="shared" si="2"/>
        <v>上得点表!F17:F27</v>
      </c>
      <c r="U72" t="str">
        <f t="shared" si="6"/>
        <v>前得点表!F3:F13</v>
      </c>
      <c r="V72" t="str">
        <f t="shared" si="7"/>
        <v>前得点表!F17:F27</v>
      </c>
      <c r="W72" t="str">
        <f t="shared" si="8"/>
        <v>反得点表!F3:F13</v>
      </c>
      <c r="X72" t="str">
        <f t="shared" si="9"/>
        <v>反得点表!F17:F27</v>
      </c>
      <c r="Y72" t="str">
        <f t="shared" si="3"/>
        <v>シャ得点表!F3:F13</v>
      </c>
      <c r="Z72" t="str">
        <f t="shared" si="4"/>
        <v>シャ得点表!F17:F27</v>
      </c>
      <c r="AA72" t="str">
        <f t="shared" si="10"/>
        <v>５０得点表!F3:F13</v>
      </c>
      <c r="AB72" t="str">
        <f t="shared" si="11"/>
        <v>５０得点表!F17:F27</v>
      </c>
      <c r="AC72" t="str">
        <f t="shared" si="12"/>
        <v>立得点表!F3:F13</v>
      </c>
      <c r="AD72" t="str">
        <f t="shared" si="13"/>
        <v>立得点表!F17:F27</v>
      </c>
      <c r="AE72" t="str">
        <f t="shared" si="14"/>
        <v>ソフト得点表!F3:F13</v>
      </c>
      <c r="AF72" t="str">
        <f t="shared" si="15"/>
        <v>ソフト得点表!F17:F27</v>
      </c>
      <c r="AG72" t="str">
        <f t="shared" si="16"/>
        <v>総合評価!F4:F8</v>
      </c>
      <c r="AH72" t="b">
        <f>OR(AND(測定結果!E26&lt;=幼少年,測定結果!M26=""),AND(測定結果!E26&gt;=壮年,測定結果!M26=""))</f>
        <v>1</v>
      </c>
    </row>
    <row r="73" spans="15:34">
      <c r="O73">
        <v>24</v>
      </c>
      <c r="P73" t="str">
        <f>IF(測定結果!E27="","",VLOOKUP(測定結果!E27,年齢変換表,2))</f>
        <v>F</v>
      </c>
      <c r="Q73" t="str">
        <f t="shared" si="0"/>
        <v>握得点表!F3:F13</v>
      </c>
      <c r="R73" t="str">
        <f t="shared" si="5"/>
        <v>握得点表!F17:F27</v>
      </c>
      <c r="S73" t="str">
        <f t="shared" si="1"/>
        <v>上得点表!F3:F13</v>
      </c>
      <c r="T73" t="str">
        <f t="shared" si="2"/>
        <v>上得点表!F17:F27</v>
      </c>
      <c r="U73" t="str">
        <f t="shared" si="6"/>
        <v>前得点表!F3:F13</v>
      </c>
      <c r="V73" t="str">
        <f t="shared" si="7"/>
        <v>前得点表!F17:F27</v>
      </c>
      <c r="W73" t="str">
        <f t="shared" si="8"/>
        <v>反得点表!F3:F13</v>
      </c>
      <c r="X73" t="str">
        <f t="shared" si="9"/>
        <v>反得点表!F17:F27</v>
      </c>
      <c r="Y73" t="str">
        <f t="shared" si="3"/>
        <v>シャ得点表!F3:F13</v>
      </c>
      <c r="Z73" t="str">
        <f t="shared" si="4"/>
        <v>シャ得点表!F17:F27</v>
      </c>
      <c r="AA73" t="str">
        <f t="shared" si="10"/>
        <v>５０得点表!F3:F13</v>
      </c>
      <c r="AB73" t="str">
        <f t="shared" si="11"/>
        <v>５０得点表!F17:F27</v>
      </c>
      <c r="AC73" t="str">
        <f t="shared" si="12"/>
        <v>立得点表!F3:F13</v>
      </c>
      <c r="AD73" t="str">
        <f t="shared" si="13"/>
        <v>立得点表!F17:F27</v>
      </c>
      <c r="AE73" t="str">
        <f t="shared" si="14"/>
        <v>ソフト得点表!F3:F13</v>
      </c>
      <c r="AF73" t="str">
        <f t="shared" si="15"/>
        <v>ソフト得点表!F17:F27</v>
      </c>
      <c r="AG73" t="str">
        <f t="shared" si="16"/>
        <v>総合評価!F4:F8</v>
      </c>
      <c r="AH73" t="b">
        <f>OR(AND(測定結果!E27&lt;=幼少年,測定結果!M27=""),AND(測定結果!E27&gt;=壮年,測定結果!M27=""))</f>
        <v>1</v>
      </c>
    </row>
    <row r="74" spans="15:34">
      <c r="O74">
        <v>25</v>
      </c>
      <c r="P74" t="str">
        <f>IF(測定結果!E28="","",VLOOKUP(測定結果!E28,年齢変換表,2))</f>
        <v>F</v>
      </c>
      <c r="Q74" t="str">
        <f t="shared" si="0"/>
        <v>握得点表!F3:F13</v>
      </c>
      <c r="R74" t="str">
        <f t="shared" si="5"/>
        <v>握得点表!F17:F27</v>
      </c>
      <c r="S74" t="str">
        <f t="shared" si="1"/>
        <v>上得点表!F3:F13</v>
      </c>
      <c r="T74" t="str">
        <f t="shared" si="2"/>
        <v>上得点表!F17:F27</v>
      </c>
      <c r="U74" t="str">
        <f t="shared" si="6"/>
        <v>前得点表!F3:F13</v>
      </c>
      <c r="V74" t="str">
        <f t="shared" si="7"/>
        <v>前得点表!F17:F27</v>
      </c>
      <c r="W74" t="str">
        <f t="shared" si="8"/>
        <v>反得点表!F3:F13</v>
      </c>
      <c r="X74" t="str">
        <f t="shared" si="9"/>
        <v>反得点表!F17:F27</v>
      </c>
      <c r="Y74" t="str">
        <f t="shared" si="3"/>
        <v>シャ得点表!F3:F13</v>
      </c>
      <c r="Z74" t="str">
        <f t="shared" si="4"/>
        <v>シャ得点表!F17:F27</v>
      </c>
      <c r="AA74" t="str">
        <f t="shared" si="10"/>
        <v>５０得点表!F3:F13</v>
      </c>
      <c r="AB74" t="str">
        <f t="shared" si="11"/>
        <v>５０得点表!F17:F27</v>
      </c>
      <c r="AC74" t="str">
        <f t="shared" si="12"/>
        <v>立得点表!F3:F13</v>
      </c>
      <c r="AD74" t="str">
        <f t="shared" si="13"/>
        <v>立得点表!F17:F27</v>
      </c>
      <c r="AE74" t="str">
        <f t="shared" si="14"/>
        <v>ソフト得点表!F3:F13</v>
      </c>
      <c r="AF74" t="str">
        <f t="shared" si="15"/>
        <v>ソフト得点表!F17:F27</v>
      </c>
      <c r="AG74" t="str">
        <f t="shared" si="16"/>
        <v>総合評価!F4:F8</v>
      </c>
      <c r="AH74" t="b">
        <f>OR(AND(測定結果!E28&lt;=幼少年,測定結果!M28=""),AND(測定結果!E28&gt;=壮年,測定結果!M28=""))</f>
        <v>1</v>
      </c>
    </row>
    <row r="75" spans="15:34">
      <c r="O75">
        <v>26</v>
      </c>
      <c r="P75" t="str">
        <f>IF(測定結果!E29="","",VLOOKUP(測定結果!E29,年齢変換表,2))</f>
        <v>F</v>
      </c>
      <c r="Q75" t="str">
        <f t="shared" si="0"/>
        <v>握得点表!F3:F13</v>
      </c>
      <c r="R75" t="str">
        <f t="shared" si="5"/>
        <v>握得点表!F17:F27</v>
      </c>
      <c r="S75" t="str">
        <f t="shared" si="1"/>
        <v>上得点表!F3:F13</v>
      </c>
      <c r="T75" t="str">
        <f t="shared" si="2"/>
        <v>上得点表!F17:F27</v>
      </c>
      <c r="U75" t="str">
        <f t="shared" si="6"/>
        <v>前得点表!F3:F13</v>
      </c>
      <c r="V75" t="str">
        <f t="shared" si="7"/>
        <v>前得点表!F17:F27</v>
      </c>
      <c r="W75" t="str">
        <f t="shared" si="8"/>
        <v>反得点表!F3:F13</v>
      </c>
      <c r="X75" t="str">
        <f t="shared" si="9"/>
        <v>反得点表!F17:F27</v>
      </c>
      <c r="Y75" t="str">
        <f t="shared" si="3"/>
        <v>シャ得点表!F3:F13</v>
      </c>
      <c r="Z75" t="str">
        <f t="shared" si="4"/>
        <v>シャ得点表!F17:F27</v>
      </c>
      <c r="AA75" t="str">
        <f t="shared" si="10"/>
        <v>５０得点表!F3:F13</v>
      </c>
      <c r="AB75" t="str">
        <f t="shared" si="11"/>
        <v>５０得点表!F17:F27</v>
      </c>
      <c r="AC75" t="str">
        <f t="shared" si="12"/>
        <v>立得点表!F3:F13</v>
      </c>
      <c r="AD75" t="str">
        <f t="shared" si="13"/>
        <v>立得点表!F17:F27</v>
      </c>
      <c r="AE75" t="str">
        <f t="shared" si="14"/>
        <v>ソフト得点表!F3:F13</v>
      </c>
      <c r="AF75" t="str">
        <f t="shared" si="15"/>
        <v>ソフト得点表!F17:F27</v>
      </c>
      <c r="AG75" t="str">
        <f t="shared" si="16"/>
        <v>総合評価!F4:F8</v>
      </c>
      <c r="AH75" t="b">
        <f>OR(AND(測定結果!E29&lt;=幼少年,測定結果!M29=""),AND(測定結果!E29&gt;=壮年,測定結果!M29=""))</f>
        <v>1</v>
      </c>
    </row>
    <row r="76" spans="15:34">
      <c r="O76">
        <v>27</v>
      </c>
      <c r="P76" t="str">
        <f>IF(測定結果!E30="","",VLOOKUP(測定結果!E30,年齢変換表,2))</f>
        <v>F</v>
      </c>
      <c r="Q76" t="str">
        <f t="shared" si="0"/>
        <v>握得点表!F3:F13</v>
      </c>
      <c r="R76" t="str">
        <f t="shared" si="5"/>
        <v>握得点表!F17:F27</v>
      </c>
      <c r="S76" t="str">
        <f t="shared" si="1"/>
        <v>上得点表!F3:F13</v>
      </c>
      <c r="T76" t="str">
        <f t="shared" si="2"/>
        <v>上得点表!F17:F27</v>
      </c>
      <c r="U76" t="str">
        <f t="shared" si="6"/>
        <v>前得点表!F3:F13</v>
      </c>
      <c r="V76" t="str">
        <f t="shared" si="7"/>
        <v>前得点表!F17:F27</v>
      </c>
      <c r="W76" t="str">
        <f t="shared" si="8"/>
        <v>反得点表!F3:F13</v>
      </c>
      <c r="X76" t="str">
        <f t="shared" si="9"/>
        <v>反得点表!F17:F27</v>
      </c>
      <c r="Y76" t="str">
        <f t="shared" si="3"/>
        <v>シャ得点表!F3:F13</v>
      </c>
      <c r="Z76" t="str">
        <f t="shared" si="4"/>
        <v>シャ得点表!F17:F27</v>
      </c>
      <c r="AA76" t="str">
        <f t="shared" si="10"/>
        <v>５０得点表!F3:F13</v>
      </c>
      <c r="AB76" t="str">
        <f t="shared" si="11"/>
        <v>５０得点表!F17:F27</v>
      </c>
      <c r="AC76" t="str">
        <f t="shared" si="12"/>
        <v>立得点表!F3:F13</v>
      </c>
      <c r="AD76" t="str">
        <f t="shared" si="13"/>
        <v>立得点表!F17:F27</v>
      </c>
      <c r="AE76" t="str">
        <f t="shared" si="14"/>
        <v>ソフト得点表!F3:F13</v>
      </c>
      <c r="AF76" t="str">
        <f t="shared" si="15"/>
        <v>ソフト得点表!F17:F27</v>
      </c>
      <c r="AG76" t="str">
        <f t="shared" si="16"/>
        <v>総合評価!F4:F8</v>
      </c>
      <c r="AH76" t="b">
        <f>OR(AND(測定結果!E30&lt;=幼少年,測定結果!M30=""),AND(測定結果!E30&gt;=壮年,測定結果!M30=""))</f>
        <v>1</v>
      </c>
    </row>
    <row r="77" spans="15:34">
      <c r="O77">
        <v>28</v>
      </c>
      <c r="P77" t="str">
        <f>IF(測定結果!E31="","",VLOOKUP(測定結果!E31,年齢変換表,2))</f>
        <v>F</v>
      </c>
      <c r="Q77" t="str">
        <f t="shared" si="0"/>
        <v>握得点表!F3:F13</v>
      </c>
      <c r="R77" t="str">
        <f t="shared" si="5"/>
        <v>握得点表!F17:F27</v>
      </c>
      <c r="S77" t="str">
        <f t="shared" si="1"/>
        <v>上得点表!F3:F13</v>
      </c>
      <c r="T77" t="str">
        <f t="shared" si="2"/>
        <v>上得点表!F17:F27</v>
      </c>
      <c r="U77" t="str">
        <f t="shared" si="6"/>
        <v>前得点表!F3:F13</v>
      </c>
      <c r="V77" t="str">
        <f t="shared" si="7"/>
        <v>前得点表!F17:F27</v>
      </c>
      <c r="W77" t="str">
        <f t="shared" si="8"/>
        <v>反得点表!F3:F13</v>
      </c>
      <c r="X77" t="str">
        <f t="shared" si="9"/>
        <v>反得点表!F17:F27</v>
      </c>
      <c r="Y77" t="str">
        <f t="shared" si="3"/>
        <v>シャ得点表!F3:F13</v>
      </c>
      <c r="Z77" t="str">
        <f t="shared" si="4"/>
        <v>シャ得点表!F17:F27</v>
      </c>
      <c r="AA77" t="str">
        <f t="shared" si="10"/>
        <v>５０得点表!F3:F13</v>
      </c>
      <c r="AB77" t="str">
        <f t="shared" si="11"/>
        <v>５０得点表!F17:F27</v>
      </c>
      <c r="AC77" t="str">
        <f t="shared" si="12"/>
        <v>立得点表!F3:F13</v>
      </c>
      <c r="AD77" t="str">
        <f t="shared" si="13"/>
        <v>立得点表!F17:F27</v>
      </c>
      <c r="AE77" t="str">
        <f t="shared" si="14"/>
        <v>ソフト得点表!F3:F13</v>
      </c>
      <c r="AF77" t="str">
        <f t="shared" si="15"/>
        <v>ソフト得点表!F17:F27</v>
      </c>
      <c r="AG77" t="str">
        <f t="shared" si="16"/>
        <v>総合評価!F4:F8</v>
      </c>
      <c r="AH77" t="b">
        <f>OR(AND(測定結果!E31&lt;=幼少年,測定結果!M31=""),AND(測定結果!E31&gt;=壮年,測定結果!M31=""))</f>
        <v>1</v>
      </c>
    </row>
    <row r="78" spans="15:34">
      <c r="O78">
        <v>29</v>
      </c>
      <c r="P78" t="str">
        <f>IF(測定結果!E32="","",VLOOKUP(測定結果!E32,年齢変換表,2))</f>
        <v>F</v>
      </c>
      <c r="Q78" t="str">
        <f t="shared" si="0"/>
        <v>握得点表!F3:F13</v>
      </c>
      <c r="R78" t="str">
        <f t="shared" si="5"/>
        <v>握得点表!F17:F27</v>
      </c>
      <c r="S78" t="str">
        <f t="shared" si="1"/>
        <v>上得点表!F3:F13</v>
      </c>
      <c r="T78" t="str">
        <f t="shared" si="2"/>
        <v>上得点表!F17:F27</v>
      </c>
      <c r="U78" t="str">
        <f t="shared" si="6"/>
        <v>前得点表!F3:F13</v>
      </c>
      <c r="V78" t="str">
        <f t="shared" si="7"/>
        <v>前得点表!F17:F27</v>
      </c>
      <c r="W78" t="str">
        <f t="shared" si="8"/>
        <v>反得点表!F3:F13</v>
      </c>
      <c r="X78" t="str">
        <f t="shared" si="9"/>
        <v>反得点表!F17:F27</v>
      </c>
      <c r="Y78" t="str">
        <f t="shared" si="3"/>
        <v>シャ得点表!F3:F13</v>
      </c>
      <c r="Z78" t="str">
        <f t="shared" si="4"/>
        <v>シャ得点表!F17:F27</v>
      </c>
      <c r="AA78" t="str">
        <f t="shared" si="10"/>
        <v>５０得点表!F3:F13</v>
      </c>
      <c r="AB78" t="str">
        <f t="shared" si="11"/>
        <v>５０得点表!F17:F27</v>
      </c>
      <c r="AC78" t="str">
        <f t="shared" si="12"/>
        <v>立得点表!F3:F13</v>
      </c>
      <c r="AD78" t="str">
        <f t="shared" si="13"/>
        <v>立得点表!F17:F27</v>
      </c>
      <c r="AE78" t="str">
        <f t="shared" si="14"/>
        <v>ソフト得点表!F3:F13</v>
      </c>
      <c r="AF78" t="str">
        <f t="shared" si="15"/>
        <v>ソフト得点表!F17:F27</v>
      </c>
      <c r="AG78" t="str">
        <f t="shared" si="16"/>
        <v>総合評価!F4:F8</v>
      </c>
      <c r="AH78" t="b">
        <f>OR(AND(測定結果!E32&lt;=幼少年,測定結果!M32=""),AND(測定結果!E32&gt;=壮年,測定結果!M32=""))</f>
        <v>1</v>
      </c>
    </row>
    <row r="79" spans="15:34">
      <c r="O79">
        <v>30</v>
      </c>
      <c r="P79" t="str">
        <f>IF(測定結果!E33="","",VLOOKUP(測定結果!E33,年齢変換表,2))</f>
        <v>F</v>
      </c>
      <c r="Q79" t="str">
        <f t="shared" si="0"/>
        <v>握得点表!F3:F13</v>
      </c>
      <c r="R79" t="str">
        <f t="shared" si="5"/>
        <v>握得点表!F17:F27</v>
      </c>
      <c r="S79" t="str">
        <f t="shared" si="1"/>
        <v>上得点表!F3:F13</v>
      </c>
      <c r="T79" t="str">
        <f t="shared" si="2"/>
        <v>上得点表!F17:F27</v>
      </c>
      <c r="U79" t="str">
        <f t="shared" si="6"/>
        <v>前得点表!F3:F13</v>
      </c>
      <c r="V79" t="str">
        <f t="shared" si="7"/>
        <v>前得点表!F17:F27</v>
      </c>
      <c r="W79" t="str">
        <f t="shared" si="8"/>
        <v>反得点表!F3:F13</v>
      </c>
      <c r="X79" t="str">
        <f t="shared" si="9"/>
        <v>反得点表!F17:F27</v>
      </c>
      <c r="Y79" t="str">
        <f t="shared" si="3"/>
        <v>シャ得点表!F3:F13</v>
      </c>
      <c r="Z79" t="str">
        <f t="shared" si="4"/>
        <v>シャ得点表!F17:F27</v>
      </c>
      <c r="AA79" t="str">
        <f t="shared" si="10"/>
        <v>５０得点表!F3:F13</v>
      </c>
      <c r="AB79" t="str">
        <f t="shared" si="11"/>
        <v>５０得点表!F17:F27</v>
      </c>
      <c r="AC79" t="str">
        <f t="shared" si="12"/>
        <v>立得点表!F3:F13</v>
      </c>
      <c r="AD79" t="str">
        <f t="shared" si="13"/>
        <v>立得点表!F17:F27</v>
      </c>
      <c r="AE79" t="str">
        <f t="shared" si="14"/>
        <v>ソフト得点表!F3:F13</v>
      </c>
      <c r="AF79" t="str">
        <f t="shared" si="15"/>
        <v>ソフト得点表!F17:F27</v>
      </c>
      <c r="AG79" t="str">
        <f t="shared" si="16"/>
        <v>総合評価!F4:F8</v>
      </c>
      <c r="AH79" t="b">
        <f>OR(AND(測定結果!E33&lt;=幼少年,測定結果!M33=""),AND(測定結果!E33&gt;=壮年,測定結果!M33=""))</f>
        <v>1</v>
      </c>
    </row>
    <row r="80" spans="15:34">
      <c r="O80">
        <v>31</v>
      </c>
      <c r="P80" t="str">
        <f>IF(測定結果!E34="","",VLOOKUP(測定結果!E34,年齢変換表,2))</f>
        <v>F</v>
      </c>
      <c r="Q80" t="str">
        <f t="shared" si="0"/>
        <v>握得点表!F3:F13</v>
      </c>
      <c r="R80" t="str">
        <f t="shared" si="5"/>
        <v>握得点表!F17:F27</v>
      </c>
      <c r="S80" t="str">
        <f t="shared" si="1"/>
        <v>上得点表!F3:F13</v>
      </c>
      <c r="T80" t="str">
        <f t="shared" si="2"/>
        <v>上得点表!F17:F27</v>
      </c>
      <c r="U80" t="str">
        <f t="shared" si="6"/>
        <v>前得点表!F3:F13</v>
      </c>
      <c r="V80" t="str">
        <f t="shared" si="7"/>
        <v>前得点表!F17:F27</v>
      </c>
      <c r="W80" t="str">
        <f t="shared" si="8"/>
        <v>反得点表!F3:F13</v>
      </c>
      <c r="X80" t="str">
        <f t="shared" si="9"/>
        <v>反得点表!F17:F27</v>
      </c>
      <c r="Y80" t="str">
        <f t="shared" si="3"/>
        <v>シャ得点表!F3:F13</v>
      </c>
      <c r="Z80" t="str">
        <f t="shared" si="4"/>
        <v>シャ得点表!F17:F27</v>
      </c>
      <c r="AA80" t="str">
        <f t="shared" si="10"/>
        <v>５０得点表!F3:F13</v>
      </c>
      <c r="AB80" t="str">
        <f t="shared" si="11"/>
        <v>５０得点表!F17:F27</v>
      </c>
      <c r="AC80" t="str">
        <f t="shared" si="12"/>
        <v>立得点表!F3:F13</v>
      </c>
      <c r="AD80" t="str">
        <f t="shared" si="13"/>
        <v>立得点表!F17:F27</v>
      </c>
      <c r="AE80" t="str">
        <f t="shared" si="14"/>
        <v>ソフト得点表!F3:F13</v>
      </c>
      <c r="AF80" t="str">
        <f t="shared" si="15"/>
        <v>ソフト得点表!F17:F27</v>
      </c>
      <c r="AG80" t="str">
        <f t="shared" si="16"/>
        <v>総合評価!F4:F8</v>
      </c>
      <c r="AH80" t="b">
        <f>OR(AND(測定結果!E34&lt;=幼少年,測定結果!M34=""),AND(測定結果!E34&gt;=壮年,測定結果!M34=""))</f>
        <v>1</v>
      </c>
    </row>
    <row r="81" spans="15:34">
      <c r="O81">
        <v>32</v>
      </c>
      <c r="P81" t="str">
        <f>IF(測定結果!E35="","",VLOOKUP(測定結果!E35,年齢変換表,2))</f>
        <v>F</v>
      </c>
      <c r="Q81" t="str">
        <f t="shared" si="0"/>
        <v>握得点表!F3:F13</v>
      </c>
      <c r="R81" t="str">
        <f t="shared" si="5"/>
        <v>握得点表!F17:F27</v>
      </c>
      <c r="S81" t="str">
        <f t="shared" si="1"/>
        <v>上得点表!F3:F13</v>
      </c>
      <c r="T81" t="str">
        <f t="shared" si="2"/>
        <v>上得点表!F17:F27</v>
      </c>
      <c r="U81" t="str">
        <f t="shared" si="6"/>
        <v>前得点表!F3:F13</v>
      </c>
      <c r="V81" t="str">
        <f t="shared" si="7"/>
        <v>前得点表!F17:F27</v>
      </c>
      <c r="W81" t="str">
        <f t="shared" si="8"/>
        <v>反得点表!F3:F13</v>
      </c>
      <c r="X81" t="str">
        <f t="shared" si="9"/>
        <v>反得点表!F17:F27</v>
      </c>
      <c r="Y81" t="str">
        <f t="shared" si="3"/>
        <v>シャ得点表!F3:F13</v>
      </c>
      <c r="Z81" t="str">
        <f t="shared" si="4"/>
        <v>シャ得点表!F17:F27</v>
      </c>
      <c r="AA81" t="str">
        <f t="shared" si="10"/>
        <v>５０得点表!F3:F13</v>
      </c>
      <c r="AB81" t="str">
        <f t="shared" si="11"/>
        <v>５０得点表!F17:F27</v>
      </c>
      <c r="AC81" t="str">
        <f t="shared" si="12"/>
        <v>立得点表!F3:F13</v>
      </c>
      <c r="AD81" t="str">
        <f t="shared" si="13"/>
        <v>立得点表!F17:F27</v>
      </c>
      <c r="AE81" t="str">
        <f t="shared" si="14"/>
        <v>ソフト得点表!F3:F13</v>
      </c>
      <c r="AF81" t="str">
        <f t="shared" si="15"/>
        <v>ソフト得点表!F17:F27</v>
      </c>
      <c r="AG81" t="str">
        <f t="shared" si="16"/>
        <v>総合評価!F4:F8</v>
      </c>
      <c r="AH81" t="b">
        <f>OR(AND(測定結果!E35&lt;=幼少年,測定結果!M35=""),AND(測定結果!E35&gt;=壮年,測定結果!M35=""))</f>
        <v>1</v>
      </c>
    </row>
    <row r="82" spans="15:34">
      <c r="O82">
        <v>33</v>
      </c>
      <c r="P82" t="str">
        <f>IF(測定結果!E36="","",VLOOKUP(測定結果!E36,年齢変換表,2))</f>
        <v>F</v>
      </c>
      <c r="Q82" t="str">
        <f t="shared" si="0"/>
        <v>握得点表!F3:F13</v>
      </c>
      <c r="R82" t="str">
        <f t="shared" si="5"/>
        <v>握得点表!F17:F27</v>
      </c>
      <c r="S82" t="str">
        <f t="shared" ref="S82:S89" si="17">"上得点表!"&amp;$P82&amp;"3:"&amp;$P82&amp;"13"</f>
        <v>上得点表!F3:F13</v>
      </c>
      <c r="T82" t="str">
        <f t="shared" ref="T82:T89" si="18">"上得点表!"&amp;$P82&amp;"17:"&amp;$P82&amp;"27"</f>
        <v>上得点表!F17:F27</v>
      </c>
      <c r="U82" t="str">
        <f t="shared" si="6"/>
        <v>前得点表!F3:F13</v>
      </c>
      <c r="V82" t="str">
        <f t="shared" si="7"/>
        <v>前得点表!F17:F27</v>
      </c>
      <c r="W82" t="str">
        <f t="shared" si="8"/>
        <v>反得点表!F3:F13</v>
      </c>
      <c r="X82" t="str">
        <f t="shared" si="9"/>
        <v>反得点表!F17:F27</v>
      </c>
      <c r="Y82" t="str">
        <f t="shared" si="3"/>
        <v>シャ得点表!F3:F13</v>
      </c>
      <c r="Z82" t="str">
        <f t="shared" si="4"/>
        <v>シャ得点表!F17:F27</v>
      </c>
      <c r="AA82" t="str">
        <f t="shared" si="10"/>
        <v>５０得点表!F3:F13</v>
      </c>
      <c r="AB82" t="str">
        <f t="shared" si="11"/>
        <v>５０得点表!F17:F27</v>
      </c>
      <c r="AC82" t="str">
        <f t="shared" si="12"/>
        <v>立得点表!F3:F13</v>
      </c>
      <c r="AD82" t="str">
        <f t="shared" si="13"/>
        <v>立得点表!F17:F27</v>
      </c>
      <c r="AE82" t="str">
        <f t="shared" si="14"/>
        <v>ソフト得点表!F3:F13</v>
      </c>
      <c r="AF82" t="str">
        <f t="shared" si="15"/>
        <v>ソフト得点表!F17:F27</v>
      </c>
      <c r="AG82" t="str">
        <f t="shared" si="16"/>
        <v>総合評価!F4:F8</v>
      </c>
      <c r="AH82" t="b">
        <f>OR(AND(測定結果!E36&lt;=幼少年,測定結果!M36=""),AND(測定結果!E36&gt;=壮年,測定結果!M36=""))</f>
        <v>1</v>
      </c>
    </row>
    <row r="83" spans="15:34">
      <c r="O83">
        <v>34</v>
      </c>
      <c r="P83" t="str">
        <f>IF(測定結果!E37="","",VLOOKUP(測定結果!E37,年齢変換表,2))</f>
        <v>F</v>
      </c>
      <c r="Q83" t="str">
        <f t="shared" si="0"/>
        <v>握得点表!F3:F13</v>
      </c>
      <c r="R83" t="str">
        <f t="shared" si="5"/>
        <v>握得点表!F17:F27</v>
      </c>
      <c r="S83" t="str">
        <f t="shared" si="17"/>
        <v>上得点表!F3:F13</v>
      </c>
      <c r="T83" t="str">
        <f t="shared" si="18"/>
        <v>上得点表!F17:F27</v>
      </c>
      <c r="U83" t="str">
        <f t="shared" si="6"/>
        <v>前得点表!F3:F13</v>
      </c>
      <c r="V83" t="str">
        <f t="shared" si="7"/>
        <v>前得点表!F17:F27</v>
      </c>
      <c r="W83" t="str">
        <f t="shared" si="8"/>
        <v>反得点表!F3:F13</v>
      </c>
      <c r="X83" t="str">
        <f t="shared" si="9"/>
        <v>反得点表!F17:F27</v>
      </c>
      <c r="Y83" t="str">
        <f t="shared" si="3"/>
        <v>シャ得点表!F3:F13</v>
      </c>
      <c r="Z83" t="str">
        <f t="shared" si="4"/>
        <v>シャ得点表!F17:F27</v>
      </c>
      <c r="AA83" t="str">
        <f t="shared" si="10"/>
        <v>５０得点表!F3:F13</v>
      </c>
      <c r="AB83" t="str">
        <f t="shared" si="11"/>
        <v>５０得点表!F17:F27</v>
      </c>
      <c r="AC83" t="str">
        <f t="shared" si="12"/>
        <v>立得点表!F3:F13</v>
      </c>
      <c r="AD83" t="str">
        <f t="shared" si="13"/>
        <v>立得点表!F17:F27</v>
      </c>
      <c r="AE83" t="str">
        <f t="shared" si="14"/>
        <v>ソフト得点表!F3:F13</v>
      </c>
      <c r="AF83" t="str">
        <f t="shared" si="15"/>
        <v>ソフト得点表!F17:F27</v>
      </c>
      <c r="AG83" t="str">
        <f t="shared" si="16"/>
        <v>総合評価!F4:F8</v>
      </c>
      <c r="AH83" t="b">
        <f>OR(AND(測定結果!E37&lt;=幼少年,測定結果!M37=""),AND(測定結果!E37&gt;=壮年,測定結果!M37=""))</f>
        <v>1</v>
      </c>
    </row>
    <row r="84" spans="15:34">
      <c r="O84">
        <v>35</v>
      </c>
      <c r="P84" t="str">
        <f>IF(測定結果!E38="","",VLOOKUP(測定結果!E38,年齢変換表,2))</f>
        <v>F</v>
      </c>
      <c r="Q84" t="str">
        <f t="shared" si="0"/>
        <v>握得点表!F3:F13</v>
      </c>
      <c r="R84" t="str">
        <f t="shared" si="5"/>
        <v>握得点表!F17:F27</v>
      </c>
      <c r="S84" t="str">
        <f t="shared" si="17"/>
        <v>上得点表!F3:F13</v>
      </c>
      <c r="T84" t="str">
        <f t="shared" si="18"/>
        <v>上得点表!F17:F27</v>
      </c>
      <c r="U84" t="str">
        <f t="shared" si="6"/>
        <v>前得点表!F3:F13</v>
      </c>
      <c r="V84" t="str">
        <f t="shared" si="7"/>
        <v>前得点表!F17:F27</v>
      </c>
      <c r="W84" t="str">
        <f t="shared" si="8"/>
        <v>反得点表!F3:F13</v>
      </c>
      <c r="X84" t="str">
        <f t="shared" si="9"/>
        <v>反得点表!F17:F27</v>
      </c>
      <c r="Y84" t="str">
        <f t="shared" si="3"/>
        <v>シャ得点表!F3:F13</v>
      </c>
      <c r="Z84" t="str">
        <f t="shared" si="4"/>
        <v>シャ得点表!F17:F27</v>
      </c>
      <c r="AA84" t="str">
        <f t="shared" si="10"/>
        <v>５０得点表!F3:F13</v>
      </c>
      <c r="AB84" t="str">
        <f t="shared" si="11"/>
        <v>５０得点表!F17:F27</v>
      </c>
      <c r="AC84" t="str">
        <f t="shared" si="12"/>
        <v>立得点表!F3:F13</v>
      </c>
      <c r="AD84" t="str">
        <f t="shared" si="13"/>
        <v>立得点表!F17:F27</v>
      </c>
      <c r="AE84" t="str">
        <f t="shared" si="14"/>
        <v>ソフト得点表!F3:F13</v>
      </c>
      <c r="AF84" t="str">
        <f t="shared" si="15"/>
        <v>ソフト得点表!F17:F27</v>
      </c>
      <c r="AG84" t="str">
        <f t="shared" si="16"/>
        <v>総合評価!F4:F8</v>
      </c>
      <c r="AH84" t="b">
        <f>OR(AND(測定結果!E38&lt;=幼少年,測定結果!M38=""),AND(測定結果!E38&gt;=壮年,測定結果!M38=""))</f>
        <v>1</v>
      </c>
    </row>
    <row r="85" spans="15:34">
      <c r="O85">
        <v>36</v>
      </c>
      <c r="P85" t="str">
        <f>IF(測定結果!E39="","",VLOOKUP(測定結果!E39,年齢変換表,2))</f>
        <v>F</v>
      </c>
      <c r="Q85" t="str">
        <f t="shared" si="0"/>
        <v>握得点表!F3:F13</v>
      </c>
      <c r="R85" t="str">
        <f t="shared" si="5"/>
        <v>握得点表!F17:F27</v>
      </c>
      <c r="S85" t="str">
        <f t="shared" si="17"/>
        <v>上得点表!F3:F13</v>
      </c>
      <c r="T85" t="str">
        <f t="shared" si="18"/>
        <v>上得点表!F17:F27</v>
      </c>
      <c r="U85" t="str">
        <f t="shared" si="6"/>
        <v>前得点表!F3:F13</v>
      </c>
      <c r="V85" t="str">
        <f t="shared" si="7"/>
        <v>前得点表!F17:F27</v>
      </c>
      <c r="W85" t="str">
        <f t="shared" si="8"/>
        <v>反得点表!F3:F13</v>
      </c>
      <c r="X85" t="str">
        <f t="shared" si="9"/>
        <v>反得点表!F17:F27</v>
      </c>
      <c r="Y85" t="str">
        <f t="shared" si="3"/>
        <v>シャ得点表!F3:F13</v>
      </c>
      <c r="Z85" t="str">
        <f t="shared" si="4"/>
        <v>シャ得点表!F17:F27</v>
      </c>
      <c r="AA85" t="str">
        <f t="shared" si="10"/>
        <v>５０得点表!F3:F13</v>
      </c>
      <c r="AB85" t="str">
        <f t="shared" si="11"/>
        <v>５０得点表!F17:F27</v>
      </c>
      <c r="AC85" t="str">
        <f t="shared" si="12"/>
        <v>立得点表!F3:F13</v>
      </c>
      <c r="AD85" t="str">
        <f t="shared" si="13"/>
        <v>立得点表!F17:F27</v>
      </c>
      <c r="AE85" t="str">
        <f t="shared" si="14"/>
        <v>ソフト得点表!F3:F13</v>
      </c>
      <c r="AF85" t="str">
        <f t="shared" si="15"/>
        <v>ソフト得点表!F17:F27</v>
      </c>
      <c r="AG85" t="str">
        <f t="shared" si="16"/>
        <v>総合評価!F4:F8</v>
      </c>
      <c r="AH85" t="b">
        <f>OR(AND(測定結果!E39&lt;=幼少年,測定結果!M39=""),AND(測定結果!E39&gt;=壮年,測定結果!M39=""))</f>
        <v>1</v>
      </c>
    </row>
    <row r="86" spans="15:34">
      <c r="O86">
        <v>37</v>
      </c>
      <c r="P86" t="str">
        <f>IF(測定結果!E40="","",VLOOKUP(測定結果!E40,年齢変換表,2))</f>
        <v>F</v>
      </c>
      <c r="Q86" t="str">
        <f t="shared" si="0"/>
        <v>握得点表!F3:F13</v>
      </c>
      <c r="R86" t="str">
        <f t="shared" si="5"/>
        <v>握得点表!F17:F27</v>
      </c>
      <c r="S86" t="str">
        <f t="shared" si="17"/>
        <v>上得点表!F3:F13</v>
      </c>
      <c r="T86" t="str">
        <f t="shared" si="18"/>
        <v>上得点表!F17:F27</v>
      </c>
      <c r="U86" t="str">
        <f t="shared" si="6"/>
        <v>前得点表!F3:F13</v>
      </c>
      <c r="V86" t="str">
        <f t="shared" si="7"/>
        <v>前得点表!F17:F27</v>
      </c>
      <c r="W86" t="str">
        <f t="shared" si="8"/>
        <v>反得点表!F3:F13</v>
      </c>
      <c r="X86" t="str">
        <f t="shared" si="9"/>
        <v>反得点表!F17:F27</v>
      </c>
      <c r="Y86" t="str">
        <f t="shared" si="3"/>
        <v>シャ得点表!F3:F13</v>
      </c>
      <c r="Z86" t="str">
        <f t="shared" si="4"/>
        <v>シャ得点表!F17:F27</v>
      </c>
      <c r="AA86" t="str">
        <f t="shared" si="10"/>
        <v>５０得点表!F3:F13</v>
      </c>
      <c r="AB86" t="str">
        <f t="shared" si="11"/>
        <v>５０得点表!F17:F27</v>
      </c>
      <c r="AC86" t="str">
        <f t="shared" si="12"/>
        <v>立得点表!F3:F13</v>
      </c>
      <c r="AD86" t="str">
        <f t="shared" si="13"/>
        <v>立得点表!F17:F27</v>
      </c>
      <c r="AE86" t="str">
        <f t="shared" si="14"/>
        <v>ソフト得点表!F3:F13</v>
      </c>
      <c r="AF86" t="str">
        <f t="shared" si="15"/>
        <v>ソフト得点表!F17:F27</v>
      </c>
      <c r="AG86" t="str">
        <f t="shared" si="16"/>
        <v>総合評価!F4:F8</v>
      </c>
      <c r="AH86" t="b">
        <f>OR(AND(測定結果!E40&lt;=幼少年,測定結果!M40=""),AND(測定結果!E40&gt;=壮年,測定結果!M40=""))</f>
        <v>1</v>
      </c>
    </row>
    <row r="87" spans="15:34">
      <c r="O87">
        <v>38</v>
      </c>
      <c r="P87" t="str">
        <f>IF(測定結果!E41="","",VLOOKUP(測定結果!E41,年齢変換表,2))</f>
        <v>F</v>
      </c>
      <c r="Q87" t="str">
        <f t="shared" si="0"/>
        <v>握得点表!F3:F13</v>
      </c>
      <c r="R87" t="str">
        <f t="shared" si="5"/>
        <v>握得点表!F17:F27</v>
      </c>
      <c r="S87" t="str">
        <f t="shared" si="17"/>
        <v>上得点表!F3:F13</v>
      </c>
      <c r="T87" t="str">
        <f t="shared" si="18"/>
        <v>上得点表!F17:F27</v>
      </c>
      <c r="U87" t="str">
        <f t="shared" si="6"/>
        <v>前得点表!F3:F13</v>
      </c>
      <c r="V87" t="str">
        <f t="shared" si="7"/>
        <v>前得点表!F17:F27</v>
      </c>
      <c r="W87" t="str">
        <f t="shared" si="8"/>
        <v>反得点表!F3:F13</v>
      </c>
      <c r="X87" t="str">
        <f t="shared" si="9"/>
        <v>反得点表!F17:F27</v>
      </c>
      <c r="Y87" t="str">
        <f t="shared" si="3"/>
        <v>シャ得点表!F3:F13</v>
      </c>
      <c r="Z87" t="str">
        <f t="shared" si="4"/>
        <v>シャ得点表!F17:F27</v>
      </c>
      <c r="AA87" t="str">
        <f t="shared" si="10"/>
        <v>５０得点表!F3:F13</v>
      </c>
      <c r="AB87" t="str">
        <f t="shared" si="11"/>
        <v>５０得点表!F17:F27</v>
      </c>
      <c r="AC87" t="str">
        <f t="shared" si="12"/>
        <v>立得点表!F3:F13</v>
      </c>
      <c r="AD87" t="str">
        <f t="shared" si="13"/>
        <v>立得点表!F17:F27</v>
      </c>
      <c r="AE87" t="str">
        <f t="shared" si="14"/>
        <v>ソフト得点表!F3:F13</v>
      </c>
      <c r="AF87" t="str">
        <f t="shared" si="15"/>
        <v>ソフト得点表!F17:F27</v>
      </c>
      <c r="AG87" t="str">
        <f t="shared" si="16"/>
        <v>総合評価!F4:F8</v>
      </c>
      <c r="AH87" t="b">
        <f>OR(AND(測定結果!E41&lt;=幼少年,測定結果!M41=""),AND(測定結果!E41&gt;=壮年,測定結果!M41=""))</f>
        <v>1</v>
      </c>
    </row>
    <row r="88" spans="15:34">
      <c r="O88">
        <v>39</v>
      </c>
      <c r="P88" t="str">
        <f>IF(測定結果!E42="","",VLOOKUP(測定結果!E42,年齢変換表,2))</f>
        <v>F</v>
      </c>
      <c r="Q88" t="str">
        <f t="shared" si="0"/>
        <v>握得点表!F3:F13</v>
      </c>
      <c r="R88" t="str">
        <f t="shared" si="5"/>
        <v>握得点表!F17:F27</v>
      </c>
      <c r="S88" t="str">
        <f t="shared" si="17"/>
        <v>上得点表!F3:F13</v>
      </c>
      <c r="T88" t="str">
        <f t="shared" si="18"/>
        <v>上得点表!F17:F27</v>
      </c>
      <c r="U88" t="str">
        <f t="shared" si="6"/>
        <v>前得点表!F3:F13</v>
      </c>
      <c r="V88" t="str">
        <f t="shared" si="7"/>
        <v>前得点表!F17:F27</v>
      </c>
      <c r="W88" t="str">
        <f t="shared" si="8"/>
        <v>反得点表!F3:F13</v>
      </c>
      <c r="X88" t="str">
        <f t="shared" si="9"/>
        <v>反得点表!F17:F27</v>
      </c>
      <c r="Y88" t="str">
        <f t="shared" si="3"/>
        <v>シャ得点表!F3:F13</v>
      </c>
      <c r="Z88" t="str">
        <f t="shared" si="4"/>
        <v>シャ得点表!F17:F27</v>
      </c>
      <c r="AA88" t="str">
        <f t="shared" si="10"/>
        <v>５０得点表!F3:F13</v>
      </c>
      <c r="AB88" t="str">
        <f t="shared" si="11"/>
        <v>５０得点表!F17:F27</v>
      </c>
      <c r="AC88" t="str">
        <f t="shared" si="12"/>
        <v>立得点表!F3:F13</v>
      </c>
      <c r="AD88" t="str">
        <f t="shared" si="13"/>
        <v>立得点表!F17:F27</v>
      </c>
      <c r="AE88" t="str">
        <f t="shared" si="14"/>
        <v>ソフト得点表!F3:F13</v>
      </c>
      <c r="AF88" t="str">
        <f t="shared" si="15"/>
        <v>ソフト得点表!F17:F27</v>
      </c>
      <c r="AG88" t="str">
        <f t="shared" si="16"/>
        <v>総合評価!F4:F8</v>
      </c>
      <c r="AH88" t="b">
        <f>OR(AND(測定結果!E42&lt;=幼少年,測定結果!M42=""),AND(測定結果!E42&gt;=壮年,測定結果!M42=""))</f>
        <v>1</v>
      </c>
    </row>
    <row r="89" spans="15:34">
      <c r="O89">
        <v>40</v>
      </c>
      <c r="P89" t="str">
        <f>IF(測定結果!E43="","",VLOOKUP(測定結果!E43,年齢変換表,2))</f>
        <v>F</v>
      </c>
      <c r="Q89" t="str">
        <f t="shared" si="0"/>
        <v>握得点表!F3:F13</v>
      </c>
      <c r="R89" t="str">
        <f t="shared" si="5"/>
        <v>握得点表!F17:F27</v>
      </c>
      <c r="S89" t="str">
        <f t="shared" si="17"/>
        <v>上得点表!F3:F13</v>
      </c>
      <c r="T89" t="str">
        <f t="shared" si="18"/>
        <v>上得点表!F17:F27</v>
      </c>
      <c r="U89" t="str">
        <f t="shared" si="6"/>
        <v>前得点表!F3:F13</v>
      </c>
      <c r="V89" t="str">
        <f t="shared" si="7"/>
        <v>前得点表!F17:F27</v>
      </c>
      <c r="W89" t="str">
        <f t="shared" si="8"/>
        <v>反得点表!F3:F13</v>
      </c>
      <c r="X89" t="str">
        <f t="shared" si="9"/>
        <v>反得点表!F17:F27</v>
      </c>
      <c r="Y89" t="str">
        <f t="shared" si="3"/>
        <v>シャ得点表!F3:F13</v>
      </c>
      <c r="Z89" t="str">
        <f t="shared" si="4"/>
        <v>シャ得点表!F17:F27</v>
      </c>
      <c r="AA89" t="str">
        <f t="shared" si="10"/>
        <v>５０得点表!F3:F13</v>
      </c>
      <c r="AB89" t="str">
        <f t="shared" si="11"/>
        <v>５０得点表!F17:F27</v>
      </c>
      <c r="AC89" t="str">
        <f t="shared" si="12"/>
        <v>立得点表!F3:F13</v>
      </c>
      <c r="AD89" t="str">
        <f t="shared" si="13"/>
        <v>立得点表!F17:F27</v>
      </c>
      <c r="AE89" t="str">
        <f t="shared" si="14"/>
        <v>ソフト得点表!F3:F13</v>
      </c>
      <c r="AF89" t="str">
        <f t="shared" si="15"/>
        <v>ソフト得点表!F17:F27</v>
      </c>
      <c r="AG89" t="str">
        <f t="shared" si="16"/>
        <v>総合評価!F4:F8</v>
      </c>
      <c r="AH89" t="b">
        <f>OR(AND(測定結果!E43&lt;=幼少年,測定結果!M43=""),AND(測定結果!E43&gt;=壮年,測定結果!M43=""))</f>
        <v>1</v>
      </c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出力用紙 (文科省)</vt:lpstr>
      <vt:lpstr>測定結果</vt:lpstr>
      <vt:lpstr>個人票</vt:lpstr>
      <vt:lpstr>出力用紙</vt:lpstr>
      <vt:lpstr>出力用紙 (2)</vt:lpstr>
      <vt:lpstr>出力用紙 (3)</vt:lpstr>
      <vt:lpstr>手書き記録</vt:lpstr>
      <vt:lpstr>人数表</vt:lpstr>
      <vt:lpstr>設定</vt:lpstr>
      <vt:lpstr>握得点表</vt:lpstr>
      <vt:lpstr>上得点表</vt:lpstr>
      <vt:lpstr>前得点表</vt:lpstr>
      <vt:lpstr>反得点表</vt:lpstr>
      <vt:lpstr>シャ得点表</vt:lpstr>
      <vt:lpstr>５０得点表</vt:lpstr>
      <vt:lpstr>立得点表</vt:lpstr>
      <vt:lpstr>ソフト得点表</vt:lpstr>
      <vt:lpstr>総合評価</vt:lpstr>
      <vt:lpstr>個人票!Print_Area</vt:lpstr>
      <vt:lpstr>出力用紙!Print_Area</vt:lpstr>
      <vt:lpstr>'出力用紙 (2)'!Print_Area</vt:lpstr>
      <vt:lpstr>'出力用紙 (3)'!Print_Area</vt:lpstr>
      <vt:lpstr>'出力用紙 (文科省)'!Print_Area</vt:lpstr>
      <vt:lpstr>測定結果!Print_Area</vt:lpstr>
      <vt:lpstr>'出力用紙 (文科省)'!記録表</vt:lpstr>
      <vt:lpstr>記録表</vt:lpstr>
      <vt:lpstr>'出力用紙 (文科省)'!壮年</vt:lpstr>
      <vt:lpstr>壮年</vt:lpstr>
      <vt:lpstr>'出力用紙 (文科省)'!年齢変換表</vt:lpstr>
      <vt:lpstr>年齢変換表</vt:lpstr>
      <vt:lpstr>判定表_４種目</vt:lpstr>
      <vt:lpstr>判定表_５種目</vt:lpstr>
      <vt:lpstr>'出力用紙 (文科省)'!幼少年</vt:lpstr>
      <vt:lpstr>幼少年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田中一男</dc:creator>
  <dc:description/>
  <cp:lastModifiedBy>kazu</cp:lastModifiedBy>
  <cp:lastPrinted>2018-06-26T08:47:13Z</cp:lastPrinted>
  <dcterms:created xsi:type="dcterms:W3CDTF">1999-03-25T03:17:19Z</dcterms:created>
  <dcterms:modified xsi:type="dcterms:W3CDTF">2020-05-06T03:44:28Z</dcterms:modified>
</cp:coreProperties>
</file>